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J:\FINANCE\FINSTMTS\2024-25\FS Templates\"/>
    </mc:Choice>
  </mc:AlternateContent>
  <xr:revisionPtr revIDLastSave="0" documentId="13_ncr:1_{93A9D9C7-0006-46E9-A8D2-0DC5AE2030D6}" xr6:coauthVersionLast="47" xr6:coauthVersionMax="47" xr10:uidLastSave="{00000000-0000-0000-0000-000000000000}"/>
  <bookViews>
    <workbookView xWindow="28680" yWindow="-3375" windowWidth="23280" windowHeight="12480" tabRatio="949" firstSheet="17" activeTab="20" xr2:uid="{00000000-000D-0000-FFFF-FFFF00000000}"/>
  </bookViews>
  <sheets>
    <sheet name="Final Amortization" sheetId="142" r:id="rId1"/>
    <sheet name="GASB 75 JEs" sheetId="85" r:id="rId2"/>
    <sheet name="Sheet3" sheetId="127" state="hidden" r:id="rId3"/>
    <sheet name="GASB 75 Sch Input CY" sheetId="120" r:id="rId4"/>
    <sheet name="CY Schedule Calcs" sheetId="140" state="hidden" r:id="rId5"/>
    <sheet name="GASB 75 Sch Input PY " sheetId="138" r:id="rId6"/>
    <sheet name="Amortization Input CY" sheetId="130" r:id="rId7"/>
    <sheet name="OPEB Contr Input - LEA" sheetId="108" r:id="rId8"/>
    <sheet name="OPEB Contr Input - RESA" sheetId="125" state="hidden" r:id="rId9"/>
    <sheet name="OPEB Contr Input - MCVC" sheetId="126" r:id="rId10"/>
    <sheet name="RESA Proportion" sheetId="117" state="hidden" r:id="rId11"/>
    <sheet name="MCVC Proportion" sheetId="118" r:id="rId12"/>
    <sheet name="Summary of GASB 75 Activity" sheetId="128" r:id="rId13"/>
    <sheet name="Change in Proportion - LEAs" sheetId="122" r:id="rId14"/>
    <sheet name="Change in Proportion - RESAs" sheetId="123" state="hidden" r:id="rId15"/>
    <sheet name="Change in Proportion - MCVCs" sheetId="124" r:id="rId16"/>
    <sheet name="Net LEA Amounts" sheetId="119" r:id="rId17"/>
    <sheet name="GASB 75 State Aid Support" sheetId="129" r:id="rId18"/>
    <sheet name="Notes Section" sheetId="131" r:id="rId19"/>
    <sheet name="NOL Assoc. w LEA" sheetId="132" r:id="rId20"/>
    <sheet name="OPEB Deferred In_outflows" sheetId="133" r:id="rId21"/>
    <sheet name="Amort. of Def. Amounts" sheetId="134" r:id="rId22"/>
    <sheet name="Sensitivity Analysis Discount" sheetId="135" r:id="rId23"/>
    <sheet name="Sensitivity Analysis Healthcare" sheetId="139" r:id="rId24"/>
    <sheet name="Prop Share of NOL" sheetId="136" r:id="rId25"/>
    <sheet name="Schedule of District Contrib" sheetId="137" r:id="rId26"/>
  </sheets>
  <externalReferences>
    <externalReference r:id="rId27"/>
    <externalReference r:id="rId28"/>
  </externalReferences>
  <definedNames>
    <definedName name="_xlnm._FilterDatabase" localSheetId="0" hidden="1">'Final Amortization'!$A$7:$AP$62</definedName>
    <definedName name="Allocable_Pension_Expense" comment="The sum of the allocable pension expense for the LEA, RESA, and MCVC should reconcile to the allocable pension expense as reported on the GASB 68 audited schedules.">'Net LEA Amounts'!$Z$36</definedName>
    <definedName name="Amort_Change_In_Proportion_LEA" comment="The sum of future amortizations for changes in proportion should reconcile to the net of deferred outflows/inflows due to change in proportion as calculated in cell E54.">'Change in Proportion - LEAs'!$C$84</definedName>
    <definedName name="Amort_Change_In_Proportion_MCVC" comment="The sum of future amortizations for changes in proportion should reconcile to the net of deferred outflows/inflows due to change in proportion as calculated in cell E54.">'Change in Proportion - MCVCs'!$C$83</definedName>
    <definedName name="Amort_Change_In_Proportion_RESA" comment="The sum of future amortizations for changes in proportion should reconcile to the net of deferred outflows/inflows due to change in proportion as calculated in cell E54.">'Change in Proportion - RESAs'!$C$79</definedName>
    <definedName name="Amortization" comment="The sum of the amortization for the LEA, RESA, and MCVC should reconcile to the amortization as reported on the GASB 68 audited schedules.">'Net LEA Amounts'!$AB$36</definedName>
    <definedName name="BAL_SHEET" localSheetId="18">#REF!</definedName>
    <definedName name="BOND_BA" localSheetId="18">#REF!</definedName>
    <definedName name="BOND_BS" localSheetId="18">#REF!</definedName>
    <definedName name="BOND_RE" localSheetId="18">#REF!</definedName>
    <definedName name="CAPITAL_BA" localSheetId="18">#REF!</definedName>
    <definedName name="CAPITAL_BS" localSheetId="18">#REF!</definedName>
    <definedName name="CAPTIAL_RE" localSheetId="18">#REF!</definedName>
    <definedName name="CDC_BA" localSheetId="18">#REF!</definedName>
    <definedName name="CDC_BS" localSheetId="18">#REF!</definedName>
    <definedName name="CDC_RE" localSheetId="18">#REF!</definedName>
    <definedName name="CUR_EXP_BA" localSheetId="18">#REF!</definedName>
    <definedName name="DEBT_BA" localSheetId="18">#REF!</definedName>
    <definedName name="DEBT_BS" localSheetId="18">#REF!</definedName>
    <definedName name="DEBT_RE" localSheetId="18">#REF!</definedName>
    <definedName name="DI_Assumptions" comment="To ensure the calculated deferred inflow of resources due to changes in assumptions reconciles with the total from the audited GASB 68 schedules.">'Net LEA Amounts'!$T$36</definedName>
    <definedName name="DI_Experience" comment="Sum of deferred inflows due to difference between expected and actual experience for the LEA, RESA, and MCVC reconciles with the amount reported on the GASB 68 audited schedules.">'Net LEA Amounts'!$P$36</definedName>
    <definedName name="DI_Investments" comment="Sum of deferred inflows due to difference between projected and actual earnings for the LEA, RESA, and MCVC reconciles with the amount reported on the GASB 68 audited schedules.">'Net LEA Amounts'!$N$36</definedName>
    <definedName name="DI_Note" comment="Total deferred inflows per the note disclosures reconciles to the total reported on the face of the district-wide statement of net position.">'OPEB Deferred In_outflows'!$E$18</definedName>
    <definedName name="DI_Proportion" comment="The net of Deferred Outflows AND Inflows due to changes in proportion for the LEA, RESA, and MCVC reconciles with the net amounts reported on the GASB 68 audited schedules.">'Net LEA Amounts'!$R$36</definedName>
    <definedName name="DI_Total" comment="Total net deferred outflows AND inflows for the LEA, RESA, and MCVC should reconcile to the total net deferred outflows and inflows as reported on the GASB 68 audited schedules.">'Net LEA Amounts'!$X$36</definedName>
    <definedName name="DO_Assumptions" comment="To ensure the calculated deferred outflow of resources due to changes in assumptions reconciles with the audited GASB 68 schedules.">'Net LEA Amounts'!$K$36</definedName>
    <definedName name="DO_Experience" comment="Sum of Deferred Outflows due to difference between expected and actual experience for the LEA, RESA, and MCVC reconciles with the amount reported on the GASB 68 audited schedules.">'Net LEA Amounts'!$G$36</definedName>
    <definedName name="DO_Investments" comment="Sum of Deferred Outflows due to difference between projected and actual earnings for the LEA, RESA, and MCVC reconciles with the amount reported on the GASB 68 audited schedules.">'Net LEA Amounts'!$E$36</definedName>
    <definedName name="DO_Note" comment="Total deferred outflows per the note disclosures reconciles to the total reported on the face of the district-wide statement of net position.">'OPEB Deferred In_outflows'!$C$18</definedName>
    <definedName name="DO_Proportion" comment="The net of Deferred Outflows AND Inflows due to changes in proportion for the LEA, RESA, and MCVC reconciles with the net amounts reported on the GASB 68 audited schedules.">'Net LEA Amounts'!$I$36</definedName>
    <definedName name="DO_Total" comment="Total net deferred outflows AND inflows for the LEA, RESA, and MCVC should reconcile to the total net deferred outflows and inflows as reported on the GASB 68 audited schedules.">'Net LEA Amounts'!$L$36</definedName>
    <definedName name="FORMAT" localSheetId="18">#REF!</definedName>
    <definedName name="Future_Amort" comment="The total of all future amortization of deferred amounts should agree to the net of all deferred outflows and inflows as reported on the district-wide statement of net position.">'Amort. of Def. Amounts'!$C$17</definedName>
    <definedName name="GFAAG" localSheetId="18">#REF!</definedName>
    <definedName name="GLTDAG" localSheetId="18">#REF!</definedName>
    <definedName name="JEs_In_Balance" comment="GASB 68 Conversion Entries are in Balance if formula value is zero.">'GASB 75 JEs'!$H$87</definedName>
    <definedName name="MCVC_BA" localSheetId="18">#REF!</definedName>
    <definedName name="MCVC_BS" localSheetId="18">#REF!</definedName>
    <definedName name="MCVC_RE" localSheetId="18">#REF!</definedName>
    <definedName name="Net_Deferred_In_Outflows_Reconcile" comment="The net of all deferred outflows and inflows per the Summary of GASB 68 Activity tab should reconcile to the net of all deferred outflows and inflows per the GASB 68 Schedules PLUS the deferred outflow for contributions made after the measurement date." localSheetId="0">'[1]Summary of GASB 75 Activity'!$I$48</definedName>
    <definedName name="Net_Deferred_In_Outflows_Reconcile" comment="The net of all deferred outflows and inflows per the Summary of GASB 68 Activity tab should reconcile to the net of all deferred outflows and inflows per the GASB 68 Schedules PLUS the deferred outflow for contributions made after the measurement date.">'Summary of GASB 75 Activity'!$I$48</definedName>
    <definedName name="Net_Pension_Expense" comment="The sum of the net pension expense for the LEA, RESA, and MCVC should reconcile to the net pension expense as reported on the GASB 68 audited schedules.">'Net LEA Amounts'!$AF$36</definedName>
    <definedName name="NPL" comment="Sum of NPL for the LEA, RESA, and MCVC reconciles with the NPL reported on the GASB 68 audited schedules.">'Net LEA Amounts'!$C$36</definedName>
    <definedName name="Pension_Expense_Reconciles" comment="Entries to Pension Expense should reconcile to the GASB 68 schedules within an immaterial difference.">'GASB 75 JEs'!$F$105</definedName>
    <definedName name="PERM_BA" localSheetId="18">#REF!</definedName>
    <definedName name="PERM_BS" localSheetId="18">#REF!</definedName>
    <definedName name="PERM_RE" localSheetId="18">#REF!</definedName>
    <definedName name="PRINT_ALL" localSheetId="18">#REF!</definedName>
    <definedName name="_xlnm.Print_Area" localSheetId="21">'Amort. of Def. Amounts'!$A$1:$G$13</definedName>
    <definedName name="_xlnm.Print_Area" localSheetId="1">'GASB 75 JEs'!$A$1:$G$88</definedName>
    <definedName name="_xlnm.Print_Area" localSheetId="19">'NOL Assoc. w LEA'!$A$1:$E$10</definedName>
    <definedName name="_xlnm.Print_Area" localSheetId="18">'Notes Section'!$A$1:$H$46</definedName>
    <definedName name="_xlnm.Print_Area" localSheetId="20">'OPEB Deferred In_outflows'!$A$1:$E$15</definedName>
    <definedName name="_xlnm.Print_Area" localSheetId="24">'Prop Share of NOL'!$A$1:$P$27</definedName>
    <definedName name="_xlnm.Print_Area" localSheetId="25">'Schedule of District Contrib'!$A$1:$P$22</definedName>
    <definedName name="_xlnm.Print_Area" localSheetId="22">'Sensitivity Analysis Discount'!$A$1:$H$10</definedName>
    <definedName name="_xlnm.Print_Area" localSheetId="23">'Sensitivity Analysis Healthcare'!$A$1:$H$11</definedName>
    <definedName name="RESA__BS" localSheetId="18">#REF!</definedName>
    <definedName name="RESA_BA" localSheetId="18">#REF!</definedName>
    <definedName name="RESA_BS" localSheetId="18">#REF!</definedName>
    <definedName name="RESA_RE" localSheetId="18">#REF!</definedName>
    <definedName name="REV_EXP" localSheetId="18">#REF!</definedName>
    <definedName name="State_Aid_Outside_of_Sp_Funding" comment="Total debit/(credit) to unrestricted state aid recorded in conversion entry U4 for the State's contributions to TRS in excess of those required by the Special Funding Situation.">'GASB 75 JEs'!$H$63</definedName>
    <definedName name="Valid_Entity_Type" localSheetId="0">[1]Sheet3!$A$1:$A$3</definedName>
    <definedName name="Valid_Entity_Type">Sheet3!$A$1:$A$3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33" l="1"/>
  <c r="E17" i="133"/>
  <c r="C17" i="133"/>
  <c r="AO62" i="142"/>
  <c r="AP62" i="142" s="1"/>
  <c r="AN62" i="142"/>
  <c r="AO61" i="142"/>
  <c r="AP61" i="142" s="1"/>
  <c r="AN61" i="142"/>
  <c r="AO60" i="142"/>
  <c r="AP60" i="142" s="1"/>
  <c r="AN60" i="142"/>
  <c r="AO59" i="142"/>
  <c r="AP59" i="142" s="1"/>
  <c r="AN59" i="142"/>
  <c r="AO58" i="142"/>
  <c r="AP58" i="142" s="1"/>
  <c r="AN58" i="142"/>
  <c r="AP57" i="142"/>
  <c r="AO57" i="142"/>
  <c r="AN57" i="142"/>
  <c r="AO56" i="142"/>
  <c r="AP56" i="142" s="1"/>
  <c r="AN56" i="142"/>
  <c r="AO55" i="142"/>
  <c r="AP55" i="142" s="1"/>
  <c r="AN55" i="142"/>
  <c r="AP54" i="142"/>
  <c r="AO54" i="142"/>
  <c r="AN54" i="142"/>
  <c r="AO53" i="142"/>
  <c r="AN53" i="142"/>
  <c r="AP53" i="142" s="1"/>
  <c r="AO52" i="142"/>
  <c r="AP52" i="142" s="1"/>
  <c r="AN52" i="142"/>
  <c r="AO51" i="142"/>
  <c r="AP51" i="142" s="1"/>
  <c r="AN51" i="142"/>
  <c r="AO50" i="142"/>
  <c r="AP50" i="142" s="1"/>
  <c r="AN50" i="142"/>
  <c r="AP49" i="142"/>
  <c r="AO49" i="142"/>
  <c r="AN49" i="142"/>
  <c r="AO48" i="142"/>
  <c r="AP48" i="142" s="1"/>
  <c r="AN48" i="142"/>
  <c r="AO47" i="142"/>
  <c r="AP47" i="142" s="1"/>
  <c r="AN47" i="142"/>
  <c r="AP46" i="142"/>
  <c r="AO46" i="142"/>
  <c r="AN46" i="142"/>
  <c r="AO45" i="142"/>
  <c r="AN45" i="142"/>
  <c r="AP45" i="142" s="1"/>
  <c r="AO44" i="142"/>
  <c r="AP44" i="142" s="1"/>
  <c r="AN44" i="142"/>
  <c r="AO43" i="142"/>
  <c r="AP43" i="142" s="1"/>
  <c r="AN43" i="142"/>
  <c r="AO42" i="142"/>
  <c r="AP42" i="142" s="1"/>
  <c r="AN42" i="142"/>
  <c r="AP41" i="142"/>
  <c r="AO41" i="142"/>
  <c r="AN41" i="142"/>
  <c r="AP40" i="142"/>
  <c r="AO40" i="142"/>
  <c r="AN40" i="142"/>
  <c r="AO39" i="142"/>
  <c r="AP39" i="142" s="1"/>
  <c r="AN39" i="142"/>
  <c r="AO38" i="142"/>
  <c r="AN38" i="142"/>
  <c r="AP38" i="142" s="1"/>
  <c r="AO37" i="142"/>
  <c r="AP37" i="142" s="1"/>
  <c r="AN37" i="142"/>
  <c r="AO36" i="142"/>
  <c r="AP36" i="142" s="1"/>
  <c r="AN36" i="142"/>
  <c r="AO35" i="142"/>
  <c r="AP35" i="142" s="1"/>
  <c r="AN35" i="142"/>
  <c r="AO34" i="142"/>
  <c r="AP34" i="142" s="1"/>
  <c r="AN34" i="142"/>
  <c r="AP33" i="142"/>
  <c r="AO33" i="142"/>
  <c r="AN33" i="142"/>
  <c r="AO32" i="142"/>
  <c r="AN32" i="142"/>
  <c r="AP32" i="142" s="1"/>
  <c r="AO31" i="142"/>
  <c r="AP31" i="142" s="1"/>
  <c r="AN31" i="142"/>
  <c r="AO30" i="142"/>
  <c r="AN30" i="142"/>
  <c r="AP30" i="142" s="1"/>
  <c r="AO29" i="142"/>
  <c r="AP29" i="142" s="1"/>
  <c r="AN29" i="142"/>
  <c r="AO28" i="142"/>
  <c r="AP28" i="142" s="1"/>
  <c r="AN28" i="142"/>
  <c r="AO27" i="142"/>
  <c r="AP27" i="142" s="1"/>
  <c r="AN27" i="142"/>
  <c r="AO26" i="142"/>
  <c r="AP26" i="142" s="1"/>
  <c r="AN26" i="142"/>
  <c r="AP25" i="142"/>
  <c r="AO25" i="142"/>
  <c r="AN25" i="142"/>
  <c r="AP24" i="142"/>
  <c r="AO24" i="142"/>
  <c r="AN24" i="142"/>
  <c r="AO23" i="142"/>
  <c r="AP23" i="142" s="1"/>
  <c r="AN23" i="142"/>
  <c r="AO22" i="142"/>
  <c r="AN22" i="142"/>
  <c r="AP22" i="142" s="1"/>
  <c r="AO21" i="142"/>
  <c r="AP21" i="142" s="1"/>
  <c r="AN21" i="142"/>
  <c r="AO20" i="142"/>
  <c r="AP20" i="142" s="1"/>
  <c r="AN20" i="142"/>
  <c r="AO19" i="142"/>
  <c r="AP19" i="142" s="1"/>
  <c r="AN19" i="142"/>
  <c r="AO18" i="142"/>
  <c r="AP18" i="142" s="1"/>
  <c r="AN18" i="142"/>
  <c r="AP17" i="142"/>
  <c r="AO17" i="142"/>
  <c r="AN17" i="142"/>
  <c r="AO16" i="142"/>
  <c r="AP16" i="142" s="1"/>
  <c r="AN16" i="142"/>
  <c r="AO15" i="142"/>
  <c r="AP15" i="142" s="1"/>
  <c r="AN15" i="142"/>
  <c r="AO14" i="142"/>
  <c r="AP14" i="142" s="1"/>
  <c r="AN14" i="142"/>
  <c r="AO13" i="142"/>
  <c r="AP13" i="142" s="1"/>
  <c r="AN13" i="142"/>
  <c r="AO12" i="142"/>
  <c r="AP12" i="142" s="1"/>
  <c r="AN12" i="142"/>
  <c r="AO11" i="142"/>
  <c r="AP11" i="142" s="1"/>
  <c r="AN11" i="142"/>
  <c r="AO10" i="142"/>
  <c r="AP10" i="142" s="1"/>
  <c r="AN10" i="142"/>
  <c r="AP9" i="142"/>
  <c r="AO9" i="142"/>
  <c r="AN9" i="142"/>
  <c r="AO8" i="142"/>
  <c r="AP8" i="142" s="1"/>
  <c r="AN8" i="142"/>
  <c r="AD8" i="142"/>
  <c r="P47" i="124" l="1"/>
  <c r="F29" i="124" l="1"/>
  <c r="P25" i="136" l="1"/>
  <c r="P23" i="136"/>
  <c r="P30" i="136"/>
  <c r="P33" i="136"/>
  <c r="T1" i="137"/>
  <c r="P18" i="136"/>
  <c r="P11" i="136"/>
  <c r="A2" i="129"/>
  <c r="V66" i="124"/>
  <c r="J26" i="124"/>
  <c r="J30" i="124" s="1"/>
  <c r="J27" i="124"/>
  <c r="J28" i="124"/>
  <c r="K16" i="124"/>
  <c r="J16" i="124"/>
  <c r="V68" i="122"/>
  <c r="O101" i="122"/>
  <c r="P101" i="122" s="1"/>
  <c r="N101" i="122"/>
  <c r="N102" i="122" s="1"/>
  <c r="N103" i="122" s="1"/>
  <c r="N104" i="122" s="1"/>
  <c r="N105" i="122" s="1"/>
  <c r="N106" i="122" s="1"/>
  <c r="N107" i="122" s="1"/>
  <c r="K20" i="122"/>
  <c r="J20" i="122"/>
  <c r="F20" i="122"/>
  <c r="F30" i="122" s="1"/>
  <c r="G20" i="122"/>
  <c r="H20" i="122"/>
  <c r="I20" i="122"/>
  <c r="E20" i="122"/>
  <c r="K5" i="122"/>
  <c r="K17" i="122"/>
  <c r="A5" i="126"/>
  <c r="A5" i="108"/>
  <c r="A2" i="138"/>
  <c r="A2" i="130"/>
  <c r="J27" i="122" l="1"/>
  <c r="J29" i="122"/>
  <c r="J28" i="122"/>
  <c r="Q101" i="122"/>
  <c r="P102" i="122"/>
  <c r="P103" i="122" s="1"/>
  <c r="P104" i="122" s="1"/>
  <c r="O102" i="122" l="1"/>
  <c r="Q102" i="122" s="1"/>
  <c r="T101" i="122"/>
  <c r="S101" i="122"/>
  <c r="O103" i="122" l="1"/>
  <c r="Q103" i="122" s="1"/>
  <c r="T102" i="122"/>
  <c r="S102" i="122"/>
  <c r="O104" i="122" l="1"/>
  <c r="Q104" i="122" s="1"/>
  <c r="S103" i="122"/>
  <c r="T103" i="122"/>
  <c r="T104" i="122" l="1"/>
  <c r="S104" i="122"/>
  <c r="P105" i="122"/>
  <c r="O105" i="122"/>
  <c r="Q105" i="122" l="1"/>
  <c r="O106" i="122" l="1"/>
  <c r="T105" i="122"/>
  <c r="S105" i="122"/>
  <c r="P106" i="122"/>
  <c r="Q106" i="122" l="1"/>
  <c r="P107" i="122" l="1"/>
  <c r="O107" i="122"/>
  <c r="Q107" i="122" s="1"/>
  <c r="T106" i="122"/>
  <c r="S106" i="122"/>
  <c r="T107" i="122" l="1"/>
  <c r="S107" i="122"/>
  <c r="F38" i="120" l="1"/>
  <c r="B38" i="120"/>
  <c r="A2" i="120"/>
  <c r="N18" i="137" l="1"/>
  <c r="AD27" i="119" l="1"/>
  <c r="AB27" i="119" l="1"/>
  <c r="O88" i="124" l="1"/>
  <c r="P88" i="124" s="1"/>
  <c r="P89" i="124" s="1"/>
  <c r="P90" i="124" s="1"/>
  <c r="P91" i="124" s="1"/>
  <c r="R27" i="119"/>
  <c r="R24" i="119"/>
  <c r="T27" i="119"/>
  <c r="T24" i="119"/>
  <c r="N33" i="136"/>
  <c r="L33" i="136"/>
  <c r="J33" i="136"/>
  <c r="H33" i="136"/>
  <c r="F33" i="136"/>
  <c r="D33" i="136"/>
  <c r="N25" i="136"/>
  <c r="L25" i="136"/>
  <c r="J25" i="136"/>
  <c r="H25" i="136"/>
  <c r="F25" i="136"/>
  <c r="D25" i="136"/>
  <c r="B33" i="136"/>
  <c r="B25" i="136"/>
  <c r="N23" i="136"/>
  <c r="N18" i="136"/>
  <c r="J31" i="122"/>
  <c r="O90" i="122" s="1"/>
  <c r="P90" i="122" s="1"/>
  <c r="H26" i="124"/>
  <c r="H30" i="124" s="1"/>
  <c r="I26" i="124"/>
  <c r="H27" i="124"/>
  <c r="I27" i="124"/>
  <c r="H28" i="124"/>
  <c r="W77" i="124" s="1"/>
  <c r="X77" i="124" s="1"/>
  <c r="I28" i="124"/>
  <c r="E29" i="124"/>
  <c r="D25" i="124"/>
  <c r="I30" i="124" l="1"/>
  <c r="Q88" i="124"/>
  <c r="O89" i="124" l="1"/>
  <c r="Q89" i="124" s="1"/>
  <c r="T88" i="124"/>
  <c r="S88" i="124"/>
  <c r="O90" i="124" l="1"/>
  <c r="Q90" i="124" s="1"/>
  <c r="T89" i="124"/>
  <c r="S89" i="124"/>
  <c r="T90" i="124" l="1"/>
  <c r="S90" i="124"/>
  <c r="O91" i="124"/>
  <c r="Q91" i="124" s="1"/>
  <c r="O92" i="124" l="1"/>
  <c r="T91" i="124"/>
  <c r="S91" i="124"/>
  <c r="P92" i="124"/>
  <c r="Q92" i="124" l="1"/>
  <c r="P93" i="124" l="1"/>
  <c r="O93" i="124"/>
  <c r="T92" i="124"/>
  <c r="S92" i="124"/>
  <c r="Q93" i="124" l="1"/>
  <c r="P94" i="124"/>
  <c r="O94" i="124"/>
  <c r="T93" i="124"/>
  <c r="S93" i="124"/>
  <c r="Q94" i="124" l="1"/>
  <c r="T94" i="124"/>
  <c r="S94" i="124"/>
  <c r="A29" i="138" l="1"/>
  <c r="Q90" i="122" l="1"/>
  <c r="P91" i="122" l="1"/>
  <c r="O91" i="122"/>
  <c r="T90" i="122"/>
  <c r="S90" i="122"/>
  <c r="L15" i="120"/>
  <c r="Q91" i="122" l="1"/>
  <c r="P92" i="122" s="1"/>
  <c r="AD40" i="119"/>
  <c r="I27" i="119"/>
  <c r="G27" i="119"/>
  <c r="E27" i="119"/>
  <c r="I24" i="119"/>
  <c r="G24" i="119"/>
  <c r="E24" i="119"/>
  <c r="L24" i="119" l="1"/>
  <c r="O92" i="122"/>
  <c r="Q92" i="122" s="1"/>
  <c r="S91" i="122"/>
  <c r="T91" i="122"/>
  <c r="L18" i="137"/>
  <c r="L23" i="136"/>
  <c r="L18" i="136"/>
  <c r="A2" i="118"/>
  <c r="A2" i="128" s="1"/>
  <c r="C3" i="122" s="1"/>
  <c r="C4" i="124" s="1"/>
  <c r="L2" i="119" s="1"/>
  <c r="F3" i="132" s="1"/>
  <c r="A1" i="138"/>
  <c r="A29" i="120"/>
  <c r="A44" i="120" s="1"/>
  <c r="I27" i="122" l="1"/>
  <c r="I28" i="122"/>
  <c r="I29" i="122"/>
  <c r="W79" i="122" s="1"/>
  <c r="X79" i="122" s="1"/>
  <c r="S92" i="122"/>
  <c r="P93" i="122"/>
  <c r="O93" i="122"/>
  <c r="T92" i="122"/>
  <c r="I4" i="139"/>
  <c r="R1" i="136" s="1"/>
  <c r="I3" i="134"/>
  <c r="I3" i="135" s="1"/>
  <c r="F3" i="133"/>
  <c r="I31" i="122" l="1"/>
  <c r="H28" i="122"/>
  <c r="H29" i="122"/>
  <c r="H27" i="122"/>
  <c r="H31" i="122" s="1"/>
  <c r="Q93" i="122"/>
  <c r="T93" i="122" s="1"/>
  <c r="A29" i="124"/>
  <c r="C24" i="124"/>
  <c r="W68" i="122" l="1"/>
  <c r="X68" i="122" s="1"/>
  <c r="O94" i="122"/>
  <c r="P94" i="122"/>
  <c r="S93" i="122"/>
  <c r="Q94" i="122" l="1"/>
  <c r="J18" i="137"/>
  <c r="F30" i="136"/>
  <c r="H30" i="136" s="1"/>
  <c r="J30" i="136" s="1"/>
  <c r="L30" i="136" s="1"/>
  <c r="N30" i="136" s="1"/>
  <c r="J23" i="136"/>
  <c r="J18" i="136"/>
  <c r="G26" i="124"/>
  <c r="G27" i="124"/>
  <c r="G28" i="124"/>
  <c r="W66" i="124" s="1"/>
  <c r="X66" i="124" s="1"/>
  <c r="G30" i="124" l="1"/>
  <c r="P95" i="122"/>
  <c r="O95" i="122"/>
  <c r="T94" i="122"/>
  <c r="S94" i="122"/>
  <c r="Q95" i="122" l="1"/>
  <c r="S95" i="122" s="1"/>
  <c r="F26" i="124"/>
  <c r="F27" i="124"/>
  <c r="E26" i="124"/>
  <c r="E27" i="124"/>
  <c r="T95" i="122" l="1"/>
  <c r="O96" i="122"/>
  <c r="P96" i="122"/>
  <c r="L21" i="120"/>
  <c r="Q96" i="122" l="1"/>
  <c r="S96" i="122" s="1"/>
  <c r="G28" i="122"/>
  <c r="G27" i="122"/>
  <c r="G29" i="122"/>
  <c r="AF21" i="138"/>
  <c r="AF18" i="138"/>
  <c r="AF19" i="138"/>
  <c r="AF17" i="138"/>
  <c r="X15" i="138"/>
  <c r="AF15" i="138"/>
  <c r="X21" i="138"/>
  <c r="X18" i="138"/>
  <c r="X19" i="138"/>
  <c r="X17" i="138"/>
  <c r="T96" i="122" l="1"/>
  <c r="G31" i="122"/>
  <c r="A12" i="133"/>
  <c r="V27" i="119" l="1"/>
  <c r="P27" i="119"/>
  <c r="N27" i="119"/>
  <c r="AD24" i="119"/>
  <c r="V24" i="119"/>
  <c r="AF21" i="120" l="1"/>
  <c r="AF18" i="120"/>
  <c r="AF19" i="120"/>
  <c r="AF17" i="120"/>
  <c r="AF15" i="120"/>
  <c r="X21" i="120"/>
  <c r="C24" i="122" s="1"/>
  <c r="X18" i="120"/>
  <c r="X19" i="120"/>
  <c r="X17" i="120"/>
  <c r="X15" i="120"/>
  <c r="I47" i="128" s="1"/>
  <c r="C70" i="140"/>
  <c r="B70" i="140"/>
  <c r="A72" i="140"/>
  <c r="B66" i="140"/>
  <c r="C66" i="140"/>
  <c r="B67" i="140"/>
  <c r="C67" i="140"/>
  <c r="A66" i="140"/>
  <c r="A67" i="140"/>
  <c r="B65" i="140"/>
  <c r="A65" i="140"/>
  <c r="C62" i="140"/>
  <c r="B62" i="140"/>
  <c r="B72" i="140" l="1"/>
  <c r="C72" i="140"/>
  <c r="F28" i="122" l="1"/>
  <c r="F27" i="122"/>
  <c r="E30" i="122"/>
  <c r="E27" i="122" l="1"/>
  <c r="E28" i="122"/>
  <c r="P24" i="119"/>
  <c r="C26" i="122" l="1"/>
  <c r="C25" i="124" s="1"/>
  <c r="A31" i="137" l="1"/>
  <c r="K46" i="126" l="1"/>
  <c r="I46" i="126"/>
  <c r="F46" i="126"/>
  <c r="D46" i="126"/>
  <c r="L26" i="126"/>
  <c r="L25" i="126"/>
  <c r="L24" i="126"/>
  <c r="L23" i="126"/>
  <c r="L22" i="126"/>
  <c r="L21" i="126"/>
  <c r="L20" i="126"/>
  <c r="L19" i="126"/>
  <c r="L18" i="126"/>
  <c r="L17" i="126"/>
  <c r="L16" i="126"/>
  <c r="L15" i="126"/>
  <c r="L14" i="126"/>
  <c r="L13" i="126"/>
  <c r="L12" i="126"/>
  <c r="L11" i="126"/>
  <c r="L10" i="126"/>
  <c r="L9" i="126"/>
  <c r="L45" i="126"/>
  <c r="L44" i="126"/>
  <c r="L43" i="126"/>
  <c r="L42" i="126"/>
  <c r="L41" i="126"/>
  <c r="L40" i="126"/>
  <c r="L39" i="126"/>
  <c r="L38" i="126"/>
  <c r="L37" i="126"/>
  <c r="L36" i="126"/>
  <c r="L35" i="126"/>
  <c r="L34" i="126"/>
  <c r="L33" i="126"/>
  <c r="L32" i="126"/>
  <c r="L31" i="126"/>
  <c r="L30" i="126"/>
  <c r="L29" i="126"/>
  <c r="L28" i="126"/>
  <c r="G45" i="126"/>
  <c r="G44" i="126"/>
  <c r="G43" i="126"/>
  <c r="G42" i="126"/>
  <c r="G41" i="126"/>
  <c r="G40" i="126"/>
  <c r="G39" i="126"/>
  <c r="G38" i="126"/>
  <c r="G37" i="126"/>
  <c r="G36" i="126"/>
  <c r="G35" i="126"/>
  <c r="G34" i="126"/>
  <c r="G33" i="126"/>
  <c r="G32" i="126"/>
  <c r="G31" i="126"/>
  <c r="G30" i="126"/>
  <c r="G29" i="126"/>
  <c r="G28" i="126"/>
  <c r="G10" i="126"/>
  <c r="G11" i="126"/>
  <c r="G12" i="126"/>
  <c r="G13" i="126"/>
  <c r="G14" i="126"/>
  <c r="G15" i="126"/>
  <c r="G16" i="126"/>
  <c r="G17" i="126"/>
  <c r="G18" i="126"/>
  <c r="G19" i="126"/>
  <c r="G20" i="126"/>
  <c r="G21" i="126"/>
  <c r="G22" i="126"/>
  <c r="G23" i="126"/>
  <c r="G24" i="126"/>
  <c r="G25" i="126"/>
  <c r="G26" i="126"/>
  <c r="G9" i="126"/>
  <c r="K46" i="125" l="1"/>
  <c r="I46" i="125"/>
  <c r="F46" i="125"/>
  <c r="D46" i="125"/>
  <c r="L26" i="125"/>
  <c r="L25" i="125"/>
  <c r="L24" i="125"/>
  <c r="L23" i="125"/>
  <c r="L22" i="125"/>
  <c r="L21" i="125"/>
  <c r="L20" i="125"/>
  <c r="L19" i="125"/>
  <c r="L18" i="125"/>
  <c r="L17" i="125"/>
  <c r="L16" i="125"/>
  <c r="L15" i="125"/>
  <c r="L14" i="125"/>
  <c r="L13" i="125"/>
  <c r="L12" i="125"/>
  <c r="L11" i="125"/>
  <c r="L10" i="125"/>
  <c r="L9" i="125"/>
  <c r="L45" i="125"/>
  <c r="L44" i="125"/>
  <c r="L43" i="125"/>
  <c r="L42" i="125"/>
  <c r="L41" i="125"/>
  <c r="L40" i="125"/>
  <c r="L39" i="125"/>
  <c r="L38" i="125"/>
  <c r="L37" i="125"/>
  <c r="L36" i="125"/>
  <c r="L35" i="125"/>
  <c r="L34" i="125"/>
  <c r="L33" i="125"/>
  <c r="L32" i="125"/>
  <c r="L31" i="125"/>
  <c r="L30" i="125"/>
  <c r="L29" i="125"/>
  <c r="L28" i="125"/>
  <c r="G45" i="125"/>
  <c r="G44" i="125"/>
  <c r="G43" i="125"/>
  <c r="G42" i="125"/>
  <c r="G41" i="125"/>
  <c r="G40" i="125"/>
  <c r="G39" i="125"/>
  <c r="G38" i="125"/>
  <c r="G37" i="125"/>
  <c r="G36" i="125"/>
  <c r="G35" i="125"/>
  <c r="G34" i="125"/>
  <c r="G33" i="125"/>
  <c r="G32" i="125"/>
  <c r="G31" i="125"/>
  <c r="G30" i="125"/>
  <c r="G29" i="125"/>
  <c r="G28" i="125"/>
  <c r="G10" i="125"/>
  <c r="G11" i="125"/>
  <c r="G12" i="125"/>
  <c r="G13" i="125"/>
  <c r="G14" i="125"/>
  <c r="G15" i="125"/>
  <c r="G16" i="125"/>
  <c r="G17" i="125"/>
  <c r="G18" i="125"/>
  <c r="G19" i="125"/>
  <c r="G20" i="125"/>
  <c r="G21" i="125"/>
  <c r="G22" i="125"/>
  <c r="G23" i="125"/>
  <c r="G24" i="125"/>
  <c r="G25" i="125"/>
  <c r="G26" i="125"/>
  <c r="G9" i="125"/>
  <c r="D6" i="125"/>
  <c r="I6" i="125"/>
  <c r="K46" i="108"/>
  <c r="I46" i="108"/>
  <c r="F46" i="108"/>
  <c r="D46" i="108"/>
  <c r="K50" i="108" l="1"/>
  <c r="L67" i="108" s="1"/>
  <c r="F50" i="108"/>
  <c r="K67" i="108" s="1"/>
  <c r="L45" i="108"/>
  <c r="L44" i="108"/>
  <c r="L43" i="108"/>
  <c r="L42" i="108"/>
  <c r="L41" i="108"/>
  <c r="L40" i="108"/>
  <c r="L39" i="108"/>
  <c r="L38" i="108"/>
  <c r="L37" i="108"/>
  <c r="L36" i="108"/>
  <c r="L35" i="108"/>
  <c r="L34" i="108"/>
  <c r="L33" i="108"/>
  <c r="L32" i="108"/>
  <c r="L31" i="108"/>
  <c r="L30" i="108"/>
  <c r="L29" i="108"/>
  <c r="L28" i="108"/>
  <c r="L26" i="108"/>
  <c r="L25" i="108"/>
  <c r="L24" i="108"/>
  <c r="L23" i="108"/>
  <c r="L22" i="108"/>
  <c r="L21" i="108"/>
  <c r="L20" i="108"/>
  <c r="L19" i="108"/>
  <c r="L18" i="108"/>
  <c r="L17" i="108"/>
  <c r="L16" i="108"/>
  <c r="L15" i="108"/>
  <c r="L14" i="108"/>
  <c r="L13" i="108"/>
  <c r="L12" i="108"/>
  <c r="L11" i="108"/>
  <c r="L10" i="108"/>
  <c r="L9" i="108"/>
  <c r="G45" i="108"/>
  <c r="G44" i="108"/>
  <c r="G43" i="108"/>
  <c r="G42" i="108"/>
  <c r="G41" i="108"/>
  <c r="G40" i="108"/>
  <c r="G39" i="108"/>
  <c r="G38" i="108"/>
  <c r="G37" i="108"/>
  <c r="G36" i="108"/>
  <c r="G35" i="108"/>
  <c r="G34" i="108"/>
  <c r="G33" i="108"/>
  <c r="G32" i="108"/>
  <c r="G31" i="108"/>
  <c r="G30" i="108"/>
  <c r="G29" i="108"/>
  <c r="G28" i="108"/>
  <c r="G10" i="108"/>
  <c r="G11" i="108"/>
  <c r="G12" i="108"/>
  <c r="G13" i="108"/>
  <c r="G14" i="108"/>
  <c r="G15" i="108"/>
  <c r="G16" i="108"/>
  <c r="G17" i="108"/>
  <c r="G18" i="108"/>
  <c r="G19" i="108"/>
  <c r="G20" i="108"/>
  <c r="G21" i="108"/>
  <c r="G22" i="108"/>
  <c r="G23" i="108"/>
  <c r="G24" i="108"/>
  <c r="G25" i="108"/>
  <c r="G26" i="108"/>
  <c r="G9" i="108"/>
  <c r="I6" i="126" l="1"/>
  <c r="D6" i="126"/>
  <c r="L19" i="138"/>
  <c r="L18" i="138"/>
  <c r="L17" i="138"/>
  <c r="A15" i="138"/>
  <c r="A6" i="138"/>
  <c r="F15" i="85" l="1"/>
  <c r="D13" i="85"/>
  <c r="I67" i="126" l="1"/>
  <c r="I67" i="125"/>
  <c r="D27" i="85" l="1"/>
  <c r="G46" i="108"/>
  <c r="L64" i="129" l="1"/>
  <c r="L63" i="129"/>
  <c r="J64" i="129"/>
  <c r="H64" i="129"/>
  <c r="J63" i="129"/>
  <c r="H63" i="129"/>
  <c r="L56" i="129"/>
  <c r="H56" i="129"/>
  <c r="J39" i="129"/>
  <c r="L35" i="129"/>
  <c r="J35" i="129"/>
  <c r="H35" i="129"/>
  <c r="L34" i="129"/>
  <c r="J34" i="129"/>
  <c r="H34" i="129"/>
  <c r="L21" i="129"/>
  <c r="L19" i="129"/>
  <c r="L18" i="129"/>
  <c r="H21" i="129"/>
  <c r="H19" i="129"/>
  <c r="H18" i="129"/>
  <c r="H26" i="129"/>
  <c r="L19" i="120"/>
  <c r="L26" i="129" l="1"/>
  <c r="L65" i="129"/>
  <c r="J65" i="129"/>
  <c r="H65" i="129"/>
  <c r="K50" i="126"/>
  <c r="K50" i="125"/>
  <c r="A43" i="120" l="1"/>
  <c r="AF13" i="138" l="1"/>
  <c r="AB13" i="138"/>
  <c r="Z13" i="138"/>
  <c r="X13" i="138"/>
  <c r="P13" i="138"/>
  <c r="L13" i="138"/>
  <c r="J13" i="138"/>
  <c r="B13" i="138"/>
  <c r="A9" i="138"/>
  <c r="A8" i="138"/>
  <c r="G18" i="117" l="1"/>
  <c r="G18" i="118"/>
  <c r="E56" i="119"/>
  <c r="E55" i="119"/>
  <c r="E54" i="119"/>
  <c r="D21" i="124"/>
  <c r="D20" i="124"/>
  <c r="D18" i="123"/>
  <c r="D22" i="122"/>
  <c r="D21" i="122"/>
  <c r="D19" i="123"/>
  <c r="A33" i="138"/>
  <c r="L21" i="138"/>
  <c r="L15" i="138"/>
  <c r="D21" i="123" l="1"/>
  <c r="D24" i="122"/>
  <c r="D22" i="124"/>
  <c r="D23" i="122"/>
  <c r="D23" i="124"/>
  <c r="D20" i="123"/>
  <c r="H23" i="136" l="1"/>
  <c r="H18" i="136"/>
  <c r="A26" i="134" l="1"/>
  <c r="A6" i="134" l="1"/>
  <c r="F28" i="124" l="1"/>
  <c r="E28" i="124"/>
  <c r="E30" i="124" s="1"/>
  <c r="F25" i="123"/>
  <c r="E25" i="123"/>
  <c r="F30" i="124" l="1"/>
  <c r="H18" i="137"/>
  <c r="H20" i="137" s="1"/>
  <c r="F18" i="137"/>
  <c r="F20" i="137" s="1"/>
  <c r="L20" i="137"/>
  <c r="J20" i="137"/>
  <c r="R20" i="137"/>
  <c r="B11" i="137"/>
  <c r="D11" i="137" s="1"/>
  <c r="F11" i="137" s="1"/>
  <c r="H11" i="137" s="1"/>
  <c r="J11" i="137" s="1"/>
  <c r="L11" i="137" s="1"/>
  <c r="N11" i="137" s="1"/>
  <c r="P11" i="137" s="1"/>
  <c r="R11" i="137" s="1"/>
  <c r="T11" i="137" s="1"/>
  <c r="F23" i="136"/>
  <c r="F18" i="136"/>
  <c r="T20" i="137"/>
  <c r="P20" i="137"/>
  <c r="N20" i="137"/>
  <c r="D18" i="137"/>
  <c r="D20" i="137" s="1"/>
  <c r="T15" i="137"/>
  <c r="T16" i="137" s="1"/>
  <c r="R15" i="137"/>
  <c r="R16" i="137" s="1"/>
  <c r="P15" i="137"/>
  <c r="P16" i="137" s="1"/>
  <c r="N15" i="137"/>
  <c r="N16" i="137" s="1"/>
  <c r="L15" i="137"/>
  <c r="L16" i="137" s="1"/>
  <c r="J15" i="137"/>
  <c r="J16" i="137" s="1"/>
  <c r="H15" i="137"/>
  <c r="H16" i="137" s="1"/>
  <c r="F15" i="137"/>
  <c r="F16" i="137" s="1"/>
  <c r="D15" i="137"/>
  <c r="D16" i="137" s="1"/>
  <c r="D23" i="136"/>
  <c r="D18" i="136"/>
  <c r="D11" i="136"/>
  <c r="F11" i="136" s="1"/>
  <c r="H11" i="136" s="1"/>
  <c r="J11" i="136" s="1"/>
  <c r="L11" i="136" s="1"/>
  <c r="N11" i="136" s="1"/>
  <c r="E5" i="135"/>
  <c r="G5" i="135" s="1"/>
  <c r="E13" i="133"/>
  <c r="A27" i="134"/>
  <c r="A28" i="134" s="1"/>
  <c r="A29" i="134" s="1"/>
  <c r="A30" i="134" s="1"/>
  <c r="A7" i="134"/>
  <c r="A8" i="134" s="1"/>
  <c r="A9" i="134" s="1"/>
  <c r="A10" i="134" s="1"/>
  <c r="C6" i="124"/>
  <c r="X78" i="124" l="1"/>
  <c r="Y77" i="124"/>
  <c r="C5" i="135"/>
  <c r="AB77" i="124" l="1"/>
  <c r="AA77" i="124"/>
  <c r="W78" i="124"/>
  <c r="Y78" i="124" s="1"/>
  <c r="X79" i="124" s="1"/>
  <c r="X80" i="124" s="1"/>
  <c r="A33" i="120"/>
  <c r="D22" i="130"/>
  <c r="B16" i="130"/>
  <c r="B17" i="130" s="1"/>
  <c r="B18" i="130" s="1"/>
  <c r="B19" i="130" s="1"/>
  <c r="B20" i="130" s="1"/>
  <c r="L33" i="129"/>
  <c r="L36" i="129" s="1"/>
  <c r="J33" i="129"/>
  <c r="J36" i="129" s="1"/>
  <c r="H33" i="129"/>
  <c r="H36" i="129" s="1"/>
  <c r="H17" i="129"/>
  <c r="L20" i="129"/>
  <c r="H20" i="129"/>
  <c r="L17" i="129"/>
  <c r="C20" i="124"/>
  <c r="C18" i="123"/>
  <c r="C21" i="122"/>
  <c r="E29" i="122"/>
  <c r="E31" i="122" s="1"/>
  <c r="C22" i="122"/>
  <c r="O77" i="124"/>
  <c r="P77" i="124" s="1"/>
  <c r="Q77" i="124" s="1"/>
  <c r="O66" i="124"/>
  <c r="O55" i="124"/>
  <c r="P55" i="124" s="1"/>
  <c r="O33" i="124"/>
  <c r="P33" i="124" s="1"/>
  <c r="Q33" i="124" s="1"/>
  <c r="P34" i="124" s="1"/>
  <c r="C21" i="124"/>
  <c r="C16" i="124"/>
  <c r="I16" i="124" s="1"/>
  <c r="N11" i="124"/>
  <c r="C4" i="123"/>
  <c r="C14" i="123" s="1"/>
  <c r="E14" i="123" s="1"/>
  <c r="I25" i="123"/>
  <c r="I26" i="123" s="1"/>
  <c r="M73" i="123" s="1"/>
  <c r="N73" i="123" s="1"/>
  <c r="O73" i="123" s="1"/>
  <c r="H25" i="123"/>
  <c r="H26" i="123" s="1"/>
  <c r="M62" i="123" s="1"/>
  <c r="N62" i="123" s="1"/>
  <c r="O62" i="123" s="1"/>
  <c r="G25" i="123"/>
  <c r="G26" i="123" s="1"/>
  <c r="M51" i="123" s="1"/>
  <c r="N51" i="123" s="1"/>
  <c r="F26" i="123"/>
  <c r="M40" i="123" s="1"/>
  <c r="E26" i="123"/>
  <c r="M29" i="123" s="1"/>
  <c r="N29" i="123" s="1"/>
  <c r="O29" i="123" s="1"/>
  <c r="Q29" i="123" s="1"/>
  <c r="C22" i="123"/>
  <c r="C19" i="123"/>
  <c r="N13" i="122"/>
  <c r="I37" i="128"/>
  <c r="F50" i="126"/>
  <c r="G67" i="126" s="1"/>
  <c r="K61" i="126"/>
  <c r="K60" i="126"/>
  <c r="K59" i="126"/>
  <c r="K58" i="126"/>
  <c r="F58" i="126"/>
  <c r="K57" i="126"/>
  <c r="F57" i="126"/>
  <c r="F56" i="126"/>
  <c r="K55" i="126"/>
  <c r="F54" i="126"/>
  <c r="K53" i="126"/>
  <c r="K52" i="126"/>
  <c r="F52" i="126"/>
  <c r="F50" i="125"/>
  <c r="G67" i="125" s="1"/>
  <c r="K61" i="125"/>
  <c r="F61" i="125"/>
  <c r="K60" i="125"/>
  <c r="F60" i="125"/>
  <c r="K59" i="125"/>
  <c r="F59" i="125"/>
  <c r="K58" i="125"/>
  <c r="F58" i="125"/>
  <c r="K57" i="125"/>
  <c r="K56" i="125"/>
  <c r="K55" i="125"/>
  <c r="K54" i="125"/>
  <c r="K53" i="125"/>
  <c r="F53" i="125"/>
  <c r="K52" i="125"/>
  <c r="C17" i="122"/>
  <c r="I17" i="122" s="1"/>
  <c r="F29" i="122"/>
  <c r="F31" i="122" s="1"/>
  <c r="O57" i="122"/>
  <c r="P57" i="122" s="1"/>
  <c r="G10" i="118"/>
  <c r="G10" i="117"/>
  <c r="E13" i="119"/>
  <c r="E12" i="119"/>
  <c r="Z27" i="119"/>
  <c r="AF27" i="119" s="1"/>
  <c r="X27" i="119"/>
  <c r="C27" i="119"/>
  <c r="AB24" i="119"/>
  <c r="Z24" i="119"/>
  <c r="AF24" i="119" s="1"/>
  <c r="N24" i="119"/>
  <c r="X24" i="119" s="1"/>
  <c r="C24" i="119"/>
  <c r="C23" i="122"/>
  <c r="L17" i="120"/>
  <c r="L18" i="120"/>
  <c r="F60" i="108"/>
  <c r="F58" i="108"/>
  <c r="F56" i="108"/>
  <c r="K55" i="108"/>
  <c r="F33" i="85" s="1"/>
  <c r="K54" i="108"/>
  <c r="F32" i="85" s="1"/>
  <c r="F54" i="108"/>
  <c r="K52" i="108"/>
  <c r="F52" i="108"/>
  <c r="I5" i="122" l="1"/>
  <c r="J17" i="122"/>
  <c r="J5" i="122" s="1"/>
  <c r="O44" i="124"/>
  <c r="P44" i="124" s="1"/>
  <c r="O46" i="122"/>
  <c r="P46" i="122" s="1"/>
  <c r="Q46" i="122" s="1"/>
  <c r="O79" i="122"/>
  <c r="P79" i="122" s="1"/>
  <c r="O68" i="122"/>
  <c r="P68" i="122" s="1"/>
  <c r="Q68" i="122" s="1"/>
  <c r="O35" i="122"/>
  <c r="P35" i="122" s="1"/>
  <c r="Q35" i="122" s="1"/>
  <c r="S35" i="122" s="1"/>
  <c r="AB78" i="124"/>
  <c r="W79" i="124"/>
  <c r="Y79" i="124" s="1"/>
  <c r="AA78" i="124"/>
  <c r="N24" i="122"/>
  <c r="N12" i="124"/>
  <c r="A75" i="124" s="1"/>
  <c r="L27" i="119"/>
  <c r="F30" i="85"/>
  <c r="N22" i="124"/>
  <c r="A57" i="124"/>
  <c r="A41" i="124"/>
  <c r="A58" i="122"/>
  <c r="A42" i="122"/>
  <c r="L43" i="129"/>
  <c r="H43" i="129"/>
  <c r="J43" i="129"/>
  <c r="L42" i="129"/>
  <c r="H42" i="129"/>
  <c r="J42" i="129"/>
  <c r="H22" i="129"/>
  <c r="L22" i="129"/>
  <c r="F59" i="126"/>
  <c r="F55" i="126"/>
  <c r="F61" i="126"/>
  <c r="F53" i="126"/>
  <c r="G46" i="126"/>
  <c r="G8" i="118" s="1"/>
  <c r="F56" i="125"/>
  <c r="F57" i="125"/>
  <c r="K61" i="108"/>
  <c r="F39" i="85" s="1"/>
  <c r="K58" i="108"/>
  <c r="F36" i="85" s="1"/>
  <c r="K53" i="108"/>
  <c r="F31" i="85" s="1"/>
  <c r="K60" i="108"/>
  <c r="F38" i="85" s="1"/>
  <c r="K57" i="108"/>
  <c r="F35" i="85" s="1"/>
  <c r="K56" i="108"/>
  <c r="F34" i="85" s="1"/>
  <c r="F51" i="125"/>
  <c r="C20" i="123"/>
  <c r="K51" i="108"/>
  <c r="C22" i="124"/>
  <c r="P66" i="124"/>
  <c r="Q66" i="124" s="1"/>
  <c r="Q73" i="123"/>
  <c r="R73" i="123"/>
  <c r="N74" i="123"/>
  <c r="M74" i="123"/>
  <c r="N30" i="123"/>
  <c r="R29" i="123"/>
  <c r="A51" i="124"/>
  <c r="D16" i="124"/>
  <c r="E16" i="124"/>
  <c r="H16" i="124"/>
  <c r="A56" i="124" s="1"/>
  <c r="F16" i="124"/>
  <c r="A54" i="124" s="1"/>
  <c r="G16" i="124"/>
  <c r="A39" i="124" s="1"/>
  <c r="I14" i="123"/>
  <c r="A35" i="124"/>
  <c r="F17" i="122"/>
  <c r="G17" i="122"/>
  <c r="A31" i="123"/>
  <c r="H17" i="122"/>
  <c r="E17" i="122"/>
  <c r="A54" i="122" s="1"/>
  <c r="A36" i="122"/>
  <c r="F14" i="123"/>
  <c r="A47" i="123"/>
  <c r="D14" i="123"/>
  <c r="H14" i="123"/>
  <c r="L7" i="123"/>
  <c r="T7" i="123" s="1"/>
  <c r="T8" i="123" s="1"/>
  <c r="T9" i="123" s="1"/>
  <c r="T10" i="123" s="1"/>
  <c r="T11" i="123" s="1"/>
  <c r="T12" i="123" s="1"/>
  <c r="T13" i="123" s="1"/>
  <c r="G14" i="123"/>
  <c r="A52" i="122"/>
  <c r="D17" i="122"/>
  <c r="N14" i="122"/>
  <c r="A76" i="122" s="1"/>
  <c r="M30" i="123"/>
  <c r="F51" i="126"/>
  <c r="F53" i="108"/>
  <c r="F61" i="108"/>
  <c r="F55" i="108"/>
  <c r="F51" i="108"/>
  <c r="O34" i="124"/>
  <c r="Q34" i="124" s="1"/>
  <c r="O35" i="124" s="1"/>
  <c r="T33" i="124"/>
  <c r="K51" i="125"/>
  <c r="K62" i="125" s="1"/>
  <c r="F55" i="125"/>
  <c r="F52" i="125"/>
  <c r="F54" i="125"/>
  <c r="L46" i="108"/>
  <c r="K59" i="108"/>
  <c r="F37" i="85" s="1"/>
  <c r="F59" i="108"/>
  <c r="F57" i="108"/>
  <c r="N63" i="123"/>
  <c r="Q62" i="123"/>
  <c r="R62" i="123"/>
  <c r="P78" i="124"/>
  <c r="S77" i="124"/>
  <c r="O78" i="124"/>
  <c r="T77" i="124"/>
  <c r="S33" i="124"/>
  <c r="M63" i="123"/>
  <c r="A49" i="123"/>
  <c r="A33" i="123"/>
  <c r="Q57" i="122"/>
  <c r="L46" i="126"/>
  <c r="K51" i="126"/>
  <c r="G46" i="125"/>
  <c r="L46" i="125"/>
  <c r="F60" i="126"/>
  <c r="O51" i="123"/>
  <c r="K54" i="126"/>
  <c r="K56" i="126"/>
  <c r="N40" i="123"/>
  <c r="O40" i="123" s="1"/>
  <c r="Q55" i="124"/>
  <c r="C23" i="124"/>
  <c r="C21" i="123"/>
  <c r="Q44" i="124" l="1"/>
  <c r="P45" i="124"/>
  <c r="N33" i="124"/>
  <c r="Q79" i="122"/>
  <c r="N35" i="122"/>
  <c r="N46" i="122" s="1"/>
  <c r="A41" i="122"/>
  <c r="H5" i="122"/>
  <c r="A40" i="122"/>
  <c r="G5" i="122"/>
  <c r="N25" i="122"/>
  <c r="N26" i="122" s="1"/>
  <c r="N27" i="122" s="1"/>
  <c r="N28" i="122" s="1"/>
  <c r="N29" i="122" s="1"/>
  <c r="N30" i="122" s="1"/>
  <c r="AA79" i="124"/>
  <c r="W80" i="124"/>
  <c r="Y80" i="124" s="1"/>
  <c r="AB79" i="124"/>
  <c r="P36" i="122"/>
  <c r="O36" i="122"/>
  <c r="T35" i="122"/>
  <c r="A55" i="122"/>
  <c r="F5" i="122"/>
  <c r="N23" i="124"/>
  <c r="N24" i="124" s="1"/>
  <c r="N25" i="124" s="1"/>
  <c r="N26" i="124" s="1"/>
  <c r="N27" i="124" s="1"/>
  <c r="N28" i="124" s="1"/>
  <c r="A38" i="122"/>
  <c r="E5" i="122"/>
  <c r="N13" i="124"/>
  <c r="A76" i="124" s="1"/>
  <c r="D28" i="85"/>
  <c r="F29" i="85"/>
  <c r="L44" i="129"/>
  <c r="E28" i="128"/>
  <c r="A53" i="123"/>
  <c r="A37" i="123"/>
  <c r="J38" i="129"/>
  <c r="J40" i="129" s="1"/>
  <c r="J41" i="129" s="1"/>
  <c r="J62" i="129" s="1"/>
  <c r="G12" i="117"/>
  <c r="G20" i="117"/>
  <c r="E13" i="128" s="1"/>
  <c r="J44" i="129"/>
  <c r="H44" i="129"/>
  <c r="F62" i="126"/>
  <c r="L54" i="125"/>
  <c r="L56" i="125"/>
  <c r="L58" i="125"/>
  <c r="L61" i="125"/>
  <c r="L62" i="125"/>
  <c r="L52" i="125"/>
  <c r="L51" i="125"/>
  <c r="L57" i="125"/>
  <c r="L60" i="125"/>
  <c r="L53" i="125"/>
  <c r="L59" i="125"/>
  <c r="L55" i="125"/>
  <c r="O30" i="123"/>
  <c r="M31" i="123" s="1"/>
  <c r="S34" i="124"/>
  <c r="A40" i="124"/>
  <c r="T66" i="124"/>
  <c r="S66" i="124"/>
  <c r="P67" i="124"/>
  <c r="O67" i="124"/>
  <c r="Q78" i="124"/>
  <c r="O79" i="124" s="1"/>
  <c r="T34" i="124"/>
  <c r="P35" i="124"/>
  <c r="O74" i="123"/>
  <c r="M75" i="123" s="1"/>
  <c r="A38" i="124"/>
  <c r="A55" i="124"/>
  <c r="A37" i="124"/>
  <c r="A53" i="124"/>
  <c r="A36" i="124"/>
  <c r="A52" i="124"/>
  <c r="A39" i="122"/>
  <c r="A56" i="122"/>
  <c r="N15" i="122"/>
  <c r="A77" i="122" s="1"/>
  <c r="A57" i="122"/>
  <c r="A34" i="123"/>
  <c r="A50" i="123"/>
  <c r="A51" i="123"/>
  <c r="A35" i="123"/>
  <c r="A36" i="123"/>
  <c r="A52" i="123"/>
  <c r="A37" i="122"/>
  <c r="A53" i="122"/>
  <c r="L18" i="123"/>
  <c r="L8" i="123"/>
  <c r="A32" i="123"/>
  <c r="A48" i="123"/>
  <c r="F62" i="125"/>
  <c r="G59" i="125" s="1"/>
  <c r="F62" i="108"/>
  <c r="K62" i="108"/>
  <c r="D111" i="85" s="1"/>
  <c r="K62" i="126"/>
  <c r="T57" i="122"/>
  <c r="P58" i="122"/>
  <c r="S57" i="122"/>
  <c r="O58" i="122"/>
  <c r="O56" i="124"/>
  <c r="P56" i="124"/>
  <c r="T55" i="124"/>
  <c r="S55" i="124"/>
  <c r="Q51" i="123"/>
  <c r="N52" i="123"/>
  <c r="R51" i="123"/>
  <c r="M52" i="123"/>
  <c r="R40" i="123"/>
  <c r="N41" i="123"/>
  <c r="Q40" i="123"/>
  <c r="M41" i="123"/>
  <c r="P47" i="122"/>
  <c r="O47" i="122"/>
  <c r="T46" i="122"/>
  <c r="S46" i="122"/>
  <c r="P46" i="124"/>
  <c r="S68" i="122"/>
  <c r="O69" i="122"/>
  <c r="P69" i="122"/>
  <c r="T68" i="122"/>
  <c r="O63" i="123"/>
  <c r="C13" i="133" l="1"/>
  <c r="N36" i="122"/>
  <c r="N37" i="122" s="1"/>
  <c r="N38" i="122" s="1"/>
  <c r="N39" i="122" s="1"/>
  <c r="N40" i="122" s="1"/>
  <c r="N41" i="122" s="1"/>
  <c r="V69" i="122"/>
  <c r="V70" i="122" s="1"/>
  <c r="V71" i="122" s="1"/>
  <c r="V72" i="122" s="1"/>
  <c r="V73" i="122" s="1"/>
  <c r="V74" i="122" s="1"/>
  <c r="O45" i="124"/>
  <c r="Q45" i="124" s="1"/>
  <c r="S44" i="124"/>
  <c r="T44" i="124"/>
  <c r="N44" i="124"/>
  <c r="S78" i="124"/>
  <c r="T79" i="122"/>
  <c r="S79" i="122"/>
  <c r="O80" i="122"/>
  <c r="P80" i="122"/>
  <c r="N34" i="124"/>
  <c r="N35" i="124" s="1"/>
  <c r="N36" i="124" s="1"/>
  <c r="N37" i="124" s="1"/>
  <c r="N38" i="124" s="1"/>
  <c r="N39" i="124" s="1"/>
  <c r="N14" i="124"/>
  <c r="A77" i="124" s="1"/>
  <c r="AA80" i="124"/>
  <c r="X81" i="124"/>
  <c r="AB80" i="124"/>
  <c r="W81" i="124"/>
  <c r="V79" i="122"/>
  <c r="V80" i="122" s="1"/>
  <c r="V81" i="122" s="1"/>
  <c r="V82" i="122" s="1"/>
  <c r="V83" i="122" s="1"/>
  <c r="V84" i="122" s="1"/>
  <c r="V85" i="122" s="1"/>
  <c r="C37" i="124"/>
  <c r="Q36" i="122"/>
  <c r="S36" i="122" s="1"/>
  <c r="Y79" i="122"/>
  <c r="B13" i="137"/>
  <c r="F40" i="85"/>
  <c r="C15" i="134"/>
  <c r="D40" i="85"/>
  <c r="N31" i="123"/>
  <c r="C33" i="123" s="1"/>
  <c r="R30" i="123"/>
  <c r="I24" i="128"/>
  <c r="F95" i="85"/>
  <c r="J45" i="129"/>
  <c r="J46" i="129" s="1"/>
  <c r="G12" i="119"/>
  <c r="G12" i="118"/>
  <c r="G13" i="119" s="1"/>
  <c r="R29" i="119" s="1"/>
  <c r="G51" i="126"/>
  <c r="C17" i="123"/>
  <c r="H19" i="130"/>
  <c r="H18" i="130"/>
  <c r="H20" i="130"/>
  <c r="H17" i="130"/>
  <c r="H21" i="130"/>
  <c r="H16" i="130"/>
  <c r="G54" i="108"/>
  <c r="J66" i="129"/>
  <c r="J67" i="129" s="1"/>
  <c r="G59" i="126"/>
  <c r="N16" i="122"/>
  <c r="N17" i="122" s="1"/>
  <c r="Q30" i="123"/>
  <c r="G60" i="126"/>
  <c r="G54" i="126"/>
  <c r="G52" i="126"/>
  <c r="G53" i="126"/>
  <c r="G62" i="126"/>
  <c r="G58" i="126"/>
  <c r="G56" i="126"/>
  <c r="G57" i="126"/>
  <c r="G55" i="126"/>
  <c r="G61" i="126"/>
  <c r="G54" i="125"/>
  <c r="G58" i="125"/>
  <c r="G55" i="125"/>
  <c r="G56" i="125"/>
  <c r="G62" i="125"/>
  <c r="G57" i="125"/>
  <c r="G51" i="125"/>
  <c r="G52" i="125"/>
  <c r="G61" i="125"/>
  <c r="G60" i="125"/>
  <c r="G53" i="125"/>
  <c r="L53" i="108"/>
  <c r="L61" i="108"/>
  <c r="C28" i="128"/>
  <c r="L57" i="108"/>
  <c r="L55" i="108"/>
  <c r="L62" i="108"/>
  <c r="L54" i="108"/>
  <c r="L59" i="108"/>
  <c r="Q74" i="123"/>
  <c r="P37" i="122"/>
  <c r="C38" i="122" s="1"/>
  <c r="Q47" i="122"/>
  <c r="S47" i="122" s="1"/>
  <c r="T78" i="124"/>
  <c r="P79" i="124"/>
  <c r="Q79" i="124" s="1"/>
  <c r="Q35" i="124"/>
  <c r="Q67" i="124"/>
  <c r="O68" i="124" s="1"/>
  <c r="N75" i="123"/>
  <c r="O75" i="123" s="1"/>
  <c r="R74" i="123"/>
  <c r="O41" i="123"/>
  <c r="Q41" i="123" s="1"/>
  <c r="O52" i="123"/>
  <c r="N53" i="123" s="1"/>
  <c r="Q58" i="122"/>
  <c r="P59" i="122" s="1"/>
  <c r="Q69" i="122"/>
  <c r="P70" i="122" s="1"/>
  <c r="N57" i="122"/>
  <c r="N47" i="122"/>
  <c r="N48" i="122" s="1"/>
  <c r="N49" i="122" s="1"/>
  <c r="N50" i="122" s="1"/>
  <c r="N51" i="122" s="1"/>
  <c r="N52" i="122" s="1"/>
  <c r="A71" i="123"/>
  <c r="L9" i="123"/>
  <c r="L29" i="123"/>
  <c r="L19" i="123"/>
  <c r="L20" i="123" s="1"/>
  <c r="L21" i="123" s="1"/>
  <c r="L22" i="123" s="1"/>
  <c r="L23" i="123" s="1"/>
  <c r="L24" i="123" s="1"/>
  <c r="G53" i="108"/>
  <c r="G58" i="108"/>
  <c r="G56" i="108"/>
  <c r="G51" i="108"/>
  <c r="H69" i="85" s="1"/>
  <c r="G61" i="108"/>
  <c r="H79" i="85" s="1"/>
  <c r="G59" i="108"/>
  <c r="H58" i="85" s="1"/>
  <c r="G60" i="108"/>
  <c r="H78" i="85" s="1"/>
  <c r="G57" i="108"/>
  <c r="H75" i="85" s="1"/>
  <c r="G55" i="108"/>
  <c r="G52" i="108"/>
  <c r="G62" i="108"/>
  <c r="L58" i="108"/>
  <c r="L60" i="108"/>
  <c r="L56" i="108"/>
  <c r="L51" i="108"/>
  <c r="L52" i="108"/>
  <c r="L59" i="126"/>
  <c r="L55" i="126"/>
  <c r="L51" i="126"/>
  <c r="L62" i="126"/>
  <c r="L58" i="126"/>
  <c r="L54" i="126"/>
  <c r="L61" i="126"/>
  <c r="L57" i="126"/>
  <c r="L53" i="126"/>
  <c r="L56" i="126"/>
  <c r="L52" i="126"/>
  <c r="L60" i="126"/>
  <c r="G28" i="128"/>
  <c r="M64" i="123"/>
  <c r="Q63" i="123"/>
  <c r="N64" i="123"/>
  <c r="R63" i="123"/>
  <c r="Q56" i="124"/>
  <c r="Q52" i="123"/>
  <c r="N45" i="124" l="1"/>
  <c r="N46" i="124" s="1"/>
  <c r="N47" i="124" s="1"/>
  <c r="N48" i="124" s="1"/>
  <c r="N49" i="124" s="1"/>
  <c r="N50" i="124" s="1"/>
  <c r="V77" i="124"/>
  <c r="V78" i="124" s="1"/>
  <c r="V79" i="124" s="1"/>
  <c r="V80" i="124" s="1"/>
  <c r="V81" i="124" s="1"/>
  <c r="V82" i="124" s="1"/>
  <c r="V83" i="124" s="1"/>
  <c r="L12" i="119"/>
  <c r="AD29" i="119"/>
  <c r="AD33" i="119" s="1"/>
  <c r="R33" i="119"/>
  <c r="N55" i="124"/>
  <c r="N56" i="124" s="1"/>
  <c r="N57" i="124" s="1"/>
  <c r="N58" i="124" s="1"/>
  <c r="N59" i="124" s="1"/>
  <c r="N60" i="124" s="1"/>
  <c r="N61" i="124" s="1"/>
  <c r="V67" i="124"/>
  <c r="V68" i="124" s="1"/>
  <c r="V69" i="124" s="1"/>
  <c r="V70" i="124" s="1"/>
  <c r="V71" i="124" s="1"/>
  <c r="V72" i="124" s="1"/>
  <c r="S45" i="124"/>
  <c r="O46" i="124"/>
  <c r="Q46" i="124" s="1"/>
  <c r="T45" i="124"/>
  <c r="Z29" i="119"/>
  <c r="P29" i="119"/>
  <c r="P33" i="119" s="1"/>
  <c r="E11" i="133" s="1"/>
  <c r="N29" i="119"/>
  <c r="I29" i="119"/>
  <c r="Q80" i="122"/>
  <c r="T80" i="122" s="1"/>
  <c r="P68" i="124"/>
  <c r="Q68" i="124" s="1"/>
  <c r="P69" i="124" s="1"/>
  <c r="N15" i="124"/>
  <c r="A78" i="124" s="1"/>
  <c r="A78" i="122"/>
  <c r="Y81" i="124"/>
  <c r="W80" i="122"/>
  <c r="X80" i="122"/>
  <c r="T36" i="122"/>
  <c r="O37" i="122"/>
  <c r="Q37" i="122" s="1"/>
  <c r="O36" i="124"/>
  <c r="AA79" i="122"/>
  <c r="AB79" i="122"/>
  <c r="T58" i="122"/>
  <c r="V29" i="119"/>
  <c r="V33" i="119" s="1"/>
  <c r="L13" i="119"/>
  <c r="C8" i="135" s="1"/>
  <c r="S58" i="122"/>
  <c r="O59" i="122"/>
  <c r="Q59" i="122" s="1"/>
  <c r="P60" i="122" s="1"/>
  <c r="O31" i="123"/>
  <c r="Q31" i="123" s="1"/>
  <c r="C49" i="123" s="1"/>
  <c r="F96" i="85"/>
  <c r="F97" i="85" s="1"/>
  <c r="H54" i="85"/>
  <c r="H71" i="85"/>
  <c r="O48" i="122"/>
  <c r="S69" i="122"/>
  <c r="H55" i="85"/>
  <c r="H51" i="85"/>
  <c r="H76" i="85"/>
  <c r="H53" i="85"/>
  <c r="B20" i="137"/>
  <c r="B15" i="137"/>
  <c r="B16" i="137" s="1"/>
  <c r="G54" i="119"/>
  <c r="L54" i="119" s="1"/>
  <c r="G20" i="118"/>
  <c r="G29" i="119"/>
  <c r="G33" i="119" s="1"/>
  <c r="C11" i="133" s="1"/>
  <c r="J18" i="130"/>
  <c r="J16" i="130"/>
  <c r="C29" i="119"/>
  <c r="G17" i="128" s="1"/>
  <c r="J20" i="130"/>
  <c r="J17" i="130"/>
  <c r="J19" i="130"/>
  <c r="K29" i="119"/>
  <c r="K33" i="119" s="1"/>
  <c r="C19" i="124"/>
  <c r="C29" i="124" s="1"/>
  <c r="J21" i="130"/>
  <c r="L24" i="129"/>
  <c r="L25" i="129" s="1"/>
  <c r="L55" i="129" s="1"/>
  <c r="L38" i="129"/>
  <c r="H22" i="130"/>
  <c r="E17" i="128"/>
  <c r="E15" i="128" s="1"/>
  <c r="D17" i="123"/>
  <c r="H72" i="85"/>
  <c r="P36" i="124"/>
  <c r="M53" i="123"/>
  <c r="T35" i="124"/>
  <c r="D53" i="124" s="1"/>
  <c r="M42" i="123"/>
  <c r="R41" i="123"/>
  <c r="N42" i="123"/>
  <c r="P48" i="122"/>
  <c r="P49" i="122" s="1"/>
  <c r="T47" i="122"/>
  <c r="S35" i="124"/>
  <c r="C53" i="124" s="1"/>
  <c r="S67" i="124"/>
  <c r="R52" i="123"/>
  <c r="T79" i="124"/>
  <c r="S79" i="124"/>
  <c r="O80" i="124"/>
  <c r="P80" i="124"/>
  <c r="T67" i="124"/>
  <c r="R75" i="123"/>
  <c r="M76" i="123"/>
  <c r="N76" i="123"/>
  <c r="Q75" i="123"/>
  <c r="O70" i="122"/>
  <c r="Q70" i="122" s="1"/>
  <c r="T69" i="122"/>
  <c r="A72" i="123"/>
  <c r="L10" i="123"/>
  <c r="L40" i="123"/>
  <c r="L30" i="123"/>
  <c r="L31" i="123" s="1"/>
  <c r="L32" i="123" s="1"/>
  <c r="L33" i="123" s="1"/>
  <c r="L34" i="123" s="1"/>
  <c r="L35" i="123" s="1"/>
  <c r="N68" i="122"/>
  <c r="N58" i="122"/>
  <c r="N59" i="122" s="1"/>
  <c r="N60" i="122" s="1"/>
  <c r="N61" i="122" s="1"/>
  <c r="N62" i="122" s="1"/>
  <c r="N63" i="122" s="1"/>
  <c r="H57" i="85"/>
  <c r="H52" i="85"/>
  <c r="H50" i="85"/>
  <c r="H56" i="85"/>
  <c r="H74" i="85"/>
  <c r="H60" i="85"/>
  <c r="H73" i="85"/>
  <c r="H59" i="85"/>
  <c r="H70" i="85"/>
  <c r="H77" i="85"/>
  <c r="A79" i="122"/>
  <c r="N18" i="122"/>
  <c r="I28" i="128"/>
  <c r="O47" i="124"/>
  <c r="S46" i="124"/>
  <c r="T46" i="124"/>
  <c r="S56" i="124"/>
  <c r="O57" i="124"/>
  <c r="P57" i="124"/>
  <c r="T56" i="124"/>
  <c r="O53" i="123"/>
  <c r="O64" i="123"/>
  <c r="N66" i="124" l="1"/>
  <c r="N67" i="124" s="1"/>
  <c r="N68" i="124" s="1"/>
  <c r="N69" i="124" s="1"/>
  <c r="N70" i="124" s="1"/>
  <c r="N71" i="124" s="1"/>
  <c r="N72" i="124" s="1"/>
  <c r="R36" i="119"/>
  <c r="E7" i="133"/>
  <c r="W82" i="124"/>
  <c r="N77" i="124"/>
  <c r="I33" i="119"/>
  <c r="P81" i="122"/>
  <c r="S80" i="122"/>
  <c r="O81" i="122"/>
  <c r="G26" i="134"/>
  <c r="V36" i="119"/>
  <c r="V40" i="119" s="1"/>
  <c r="O42" i="123"/>
  <c r="C38" i="124"/>
  <c r="Q80" i="124"/>
  <c r="P81" i="124" s="1"/>
  <c r="N16" i="124"/>
  <c r="A79" i="124" s="1"/>
  <c r="AA81" i="124"/>
  <c r="O38" i="122"/>
  <c r="AB81" i="124"/>
  <c r="X82" i="124"/>
  <c r="Y80" i="122"/>
  <c r="Q36" i="124"/>
  <c r="T36" i="124" s="1"/>
  <c r="G8" i="135"/>
  <c r="Q48" i="122"/>
  <c r="O49" i="122" s="1"/>
  <c r="Z33" i="119"/>
  <c r="Z36" i="119" s="1"/>
  <c r="Z40" i="119" s="1"/>
  <c r="N33" i="119"/>
  <c r="G9" i="139"/>
  <c r="F16" i="130"/>
  <c r="E26" i="134" s="1"/>
  <c r="B13" i="136"/>
  <c r="R31" i="123"/>
  <c r="D49" i="123" s="1"/>
  <c r="E49" i="123" s="1"/>
  <c r="M32" i="123"/>
  <c r="N32" i="123"/>
  <c r="C9" i="139"/>
  <c r="D113" i="85"/>
  <c r="S68" i="124"/>
  <c r="F19" i="130"/>
  <c r="E29" i="134" s="1"/>
  <c r="F17" i="130"/>
  <c r="E27" i="134" s="1"/>
  <c r="C20" i="122"/>
  <c r="C30" i="122" s="1"/>
  <c r="E9" i="139"/>
  <c r="F20" i="130"/>
  <c r="E30" i="134" s="1"/>
  <c r="E8" i="135"/>
  <c r="F21" i="130"/>
  <c r="E31" i="134" s="1"/>
  <c r="F18" i="130"/>
  <c r="E28" i="134" s="1"/>
  <c r="C33" i="119"/>
  <c r="C36" i="119" s="1"/>
  <c r="C40" i="119" s="1"/>
  <c r="P36" i="119"/>
  <c r="P40" i="119" s="1"/>
  <c r="K36" i="119"/>
  <c r="K40" i="119" s="1"/>
  <c r="G55" i="119"/>
  <c r="L55" i="119" s="1"/>
  <c r="G36" i="119"/>
  <c r="G40" i="119" s="1"/>
  <c r="J22" i="130"/>
  <c r="L57" i="129"/>
  <c r="L39" i="129"/>
  <c r="L40" i="129" s="1"/>
  <c r="L41" i="129" s="1"/>
  <c r="L27" i="129"/>
  <c r="H38" i="129"/>
  <c r="H24" i="129"/>
  <c r="H25" i="129" s="1"/>
  <c r="D25" i="123"/>
  <c r="D23" i="123"/>
  <c r="C25" i="123"/>
  <c r="U7" i="123" s="1"/>
  <c r="C24" i="123"/>
  <c r="D24" i="123"/>
  <c r="C23" i="123"/>
  <c r="Q42" i="123"/>
  <c r="R42" i="123"/>
  <c r="E53" i="124"/>
  <c r="O69" i="124"/>
  <c r="Q69" i="124" s="1"/>
  <c r="P70" i="124" s="1"/>
  <c r="T59" i="122"/>
  <c r="T68" i="124"/>
  <c r="M43" i="123"/>
  <c r="N43" i="123"/>
  <c r="C34" i="123" s="1"/>
  <c r="S37" i="122"/>
  <c r="C54" i="122" s="1"/>
  <c r="T37" i="122"/>
  <c r="D54" i="122" s="1"/>
  <c r="P38" i="122"/>
  <c r="O60" i="122"/>
  <c r="Q60" i="122" s="1"/>
  <c r="S59" i="122"/>
  <c r="O76" i="123"/>
  <c r="L41" i="123"/>
  <c r="L42" i="123" s="1"/>
  <c r="L43" i="123" s="1"/>
  <c r="L44" i="123" s="1"/>
  <c r="L45" i="123" s="1"/>
  <c r="L46" i="123" s="1"/>
  <c r="L51" i="123"/>
  <c r="A73" i="123"/>
  <c r="L11" i="123"/>
  <c r="N79" i="122"/>
  <c r="N69" i="122"/>
  <c r="N70" i="122" s="1"/>
  <c r="N71" i="122" s="1"/>
  <c r="N72" i="122" s="1"/>
  <c r="N73" i="122" s="1"/>
  <c r="N74" i="122" s="1"/>
  <c r="P71" i="122"/>
  <c r="T70" i="122"/>
  <c r="S70" i="122"/>
  <c r="O71" i="122"/>
  <c r="Q57" i="124"/>
  <c r="A80" i="122"/>
  <c r="N19" i="122"/>
  <c r="M65" i="123"/>
  <c r="N65" i="123"/>
  <c r="R64" i="123"/>
  <c r="Q64" i="123"/>
  <c r="N54" i="123"/>
  <c r="M54" i="123"/>
  <c r="R53" i="123"/>
  <c r="Q53" i="123"/>
  <c r="Q47" i="124"/>
  <c r="N78" i="124" l="1"/>
  <c r="N79" i="124" s="1"/>
  <c r="N80" i="124" s="1"/>
  <c r="N81" i="124" s="1"/>
  <c r="N82" i="124" s="1"/>
  <c r="N83" i="124" s="1"/>
  <c r="N88" i="124"/>
  <c r="N89" i="124" s="1"/>
  <c r="N90" i="124" s="1"/>
  <c r="N91" i="124" s="1"/>
  <c r="N92" i="124" s="1"/>
  <c r="N93" i="124" s="1"/>
  <c r="N94" i="124" s="1"/>
  <c r="Y82" i="124"/>
  <c r="N80" i="122"/>
  <c r="N81" i="122" s="1"/>
  <c r="N82" i="122" s="1"/>
  <c r="N83" i="122" s="1"/>
  <c r="N84" i="122" s="1"/>
  <c r="N85" i="122" s="1"/>
  <c r="N90" i="122"/>
  <c r="N91" i="122" s="1"/>
  <c r="N92" i="122" s="1"/>
  <c r="N93" i="122" s="1"/>
  <c r="N94" i="122" s="1"/>
  <c r="N95" i="122" s="1"/>
  <c r="N96" i="122" s="1"/>
  <c r="I36" i="119"/>
  <c r="Q81" i="122"/>
  <c r="P82" i="122" s="1"/>
  <c r="Q38" i="122"/>
  <c r="T38" i="122" s="1"/>
  <c r="S80" i="124"/>
  <c r="O81" i="124"/>
  <c r="Q81" i="124" s="1"/>
  <c r="T80" i="124"/>
  <c r="N17" i="124"/>
  <c r="X81" i="122"/>
  <c r="X82" i="122" s="1"/>
  <c r="AA80" i="122"/>
  <c r="W81" i="122"/>
  <c r="AB80" i="122"/>
  <c r="P37" i="124"/>
  <c r="S36" i="124"/>
  <c r="O37" i="124"/>
  <c r="X83" i="124"/>
  <c r="W83" i="124"/>
  <c r="AB82" i="124"/>
  <c r="AA82" i="124"/>
  <c r="N36" i="119"/>
  <c r="N40" i="119" s="1"/>
  <c r="E8" i="133"/>
  <c r="T48" i="122"/>
  <c r="C39" i="122"/>
  <c r="S48" i="122"/>
  <c r="V7" i="123"/>
  <c r="O32" i="123"/>
  <c r="Q32" i="123" s="1"/>
  <c r="O70" i="124"/>
  <c r="Q70" i="124" s="1"/>
  <c r="T70" i="124" s="1"/>
  <c r="F22" i="130"/>
  <c r="E32" i="134"/>
  <c r="I13" i="128"/>
  <c r="F16" i="85"/>
  <c r="C17" i="128"/>
  <c r="C15" i="128" s="1"/>
  <c r="B15" i="136"/>
  <c r="B23" i="136" s="1"/>
  <c r="G15" i="128"/>
  <c r="L45" i="129"/>
  <c r="L46" i="129" s="1"/>
  <c r="L62" i="129"/>
  <c r="L66" i="129" s="1"/>
  <c r="L67" i="129" s="1"/>
  <c r="H39" i="129"/>
  <c r="H40" i="129" s="1"/>
  <c r="H41" i="129" s="1"/>
  <c r="H55" i="129"/>
  <c r="H57" i="129" s="1"/>
  <c r="H27" i="129"/>
  <c r="G56" i="119"/>
  <c r="L56" i="119" s="1"/>
  <c r="D19" i="124"/>
  <c r="D29" i="124" s="1"/>
  <c r="D26" i="123"/>
  <c r="M18" i="123" s="1"/>
  <c r="N18" i="123" s="1"/>
  <c r="O18" i="123" s="1"/>
  <c r="M19" i="123" s="1"/>
  <c r="C26" i="123"/>
  <c r="M7" i="123" s="1"/>
  <c r="O43" i="123"/>
  <c r="Q43" i="123" s="1"/>
  <c r="C50" i="123" s="1"/>
  <c r="E54" i="122"/>
  <c r="O61" i="122"/>
  <c r="T60" i="122"/>
  <c r="T69" i="124"/>
  <c r="S69" i="124"/>
  <c r="Q76" i="123"/>
  <c r="M77" i="123"/>
  <c r="N77" i="123"/>
  <c r="R76" i="123"/>
  <c r="O54" i="123"/>
  <c r="Q54" i="123" s="1"/>
  <c r="P61" i="122"/>
  <c r="C40" i="122" s="1"/>
  <c r="S60" i="122"/>
  <c r="Q71" i="122"/>
  <c r="P72" i="122" s="1"/>
  <c r="A74" i="123"/>
  <c r="L12" i="123"/>
  <c r="L52" i="123"/>
  <c r="L53" i="123" s="1"/>
  <c r="L54" i="123" s="1"/>
  <c r="L55" i="123" s="1"/>
  <c r="L56" i="123" s="1"/>
  <c r="L57" i="123" s="1"/>
  <c r="L62" i="123"/>
  <c r="O65" i="123"/>
  <c r="S57" i="124"/>
  <c r="P58" i="124"/>
  <c r="O58" i="124"/>
  <c r="T57" i="124"/>
  <c r="T47" i="124"/>
  <c r="D54" i="124" s="1"/>
  <c r="S47" i="124"/>
  <c r="C54" i="124" s="1"/>
  <c r="O48" i="124"/>
  <c r="P48" i="124"/>
  <c r="S38" i="122" l="1"/>
  <c r="S81" i="122"/>
  <c r="O39" i="122"/>
  <c r="P39" i="122"/>
  <c r="Q39" i="122" s="1"/>
  <c r="D14" i="85"/>
  <c r="H62" i="85"/>
  <c r="D62" i="85" s="1"/>
  <c r="O82" i="122"/>
  <c r="Q82" i="122" s="1"/>
  <c r="T81" i="122"/>
  <c r="T81" i="124"/>
  <c r="P82" i="124"/>
  <c r="S81" i="124"/>
  <c r="O82" i="124"/>
  <c r="Q82" i="124" s="1"/>
  <c r="T82" i="124" s="1"/>
  <c r="P71" i="124"/>
  <c r="C40" i="124" s="1"/>
  <c r="Y81" i="122"/>
  <c r="Q37" i="124"/>
  <c r="Y83" i="124"/>
  <c r="Q49" i="122"/>
  <c r="Q61" i="122"/>
  <c r="S71" i="122"/>
  <c r="M33" i="123"/>
  <c r="W7" i="123"/>
  <c r="V8" i="123" s="1"/>
  <c r="N33" i="123"/>
  <c r="R32" i="123"/>
  <c r="D20" i="122"/>
  <c r="D114" i="85"/>
  <c r="D115" i="85" s="1"/>
  <c r="I15" i="128"/>
  <c r="I17" i="128" s="1"/>
  <c r="H45" i="129"/>
  <c r="H46" i="129" s="1"/>
  <c r="D103" i="85" s="1"/>
  <c r="H62" i="129"/>
  <c r="H66" i="129" s="1"/>
  <c r="H67" i="129" s="1"/>
  <c r="D26" i="124"/>
  <c r="D28" i="124"/>
  <c r="D27" i="124"/>
  <c r="C26" i="124"/>
  <c r="C28" i="124"/>
  <c r="C27" i="124"/>
  <c r="R18" i="123"/>
  <c r="Q18" i="123"/>
  <c r="N19" i="123"/>
  <c r="C32" i="123" s="1"/>
  <c r="N7" i="123"/>
  <c r="AB7" i="123" s="1"/>
  <c r="R43" i="123"/>
  <c r="D50" i="123" s="1"/>
  <c r="E50" i="123" s="1"/>
  <c r="M44" i="123"/>
  <c r="N44" i="123"/>
  <c r="R54" i="123"/>
  <c r="S70" i="124"/>
  <c r="N55" i="123"/>
  <c r="C35" i="123" s="1"/>
  <c r="M55" i="123"/>
  <c r="O55" i="123" s="1"/>
  <c r="R55" i="123" s="1"/>
  <c r="D51" i="123" s="1"/>
  <c r="E54" i="124"/>
  <c r="O71" i="124"/>
  <c r="Q58" i="124"/>
  <c r="O59" i="124" s="1"/>
  <c r="O77" i="123"/>
  <c r="T71" i="122"/>
  <c r="O72" i="122"/>
  <c r="Q72" i="122" s="1"/>
  <c r="L63" i="123"/>
  <c r="L64" i="123" s="1"/>
  <c r="L65" i="123" s="1"/>
  <c r="L66" i="123" s="1"/>
  <c r="L67" i="123" s="1"/>
  <c r="L68" i="123" s="1"/>
  <c r="L73" i="123"/>
  <c r="L74" i="123" s="1"/>
  <c r="L75" i="123" s="1"/>
  <c r="L76" i="123" s="1"/>
  <c r="L77" i="123" s="1"/>
  <c r="L78" i="123" s="1"/>
  <c r="L79" i="123" s="1"/>
  <c r="A75" i="123"/>
  <c r="L13" i="123"/>
  <c r="Q48" i="124"/>
  <c r="N66" i="123"/>
  <c r="M66" i="123"/>
  <c r="R65" i="123"/>
  <c r="Q65" i="123"/>
  <c r="T72" i="122" l="1"/>
  <c r="D30" i="124"/>
  <c r="O22" i="124" s="1"/>
  <c r="P22" i="124" s="1"/>
  <c r="Q22" i="124" s="1"/>
  <c r="F62" i="85"/>
  <c r="T82" i="122"/>
  <c r="S82" i="122"/>
  <c r="P83" i="122"/>
  <c r="O83" i="122"/>
  <c r="D29" i="122"/>
  <c r="D30" i="122"/>
  <c r="C27" i="122"/>
  <c r="O33" i="123"/>
  <c r="C30" i="124"/>
  <c r="O11" i="124" s="1"/>
  <c r="Q71" i="124"/>
  <c r="T71" i="124" s="1"/>
  <c r="D56" i="124" s="1"/>
  <c r="O62" i="122"/>
  <c r="O50" i="122"/>
  <c r="AA81" i="122"/>
  <c r="W82" i="122"/>
  <c r="AB81" i="122"/>
  <c r="O38" i="124"/>
  <c r="P38" i="124"/>
  <c r="S37" i="124"/>
  <c r="T37" i="124"/>
  <c r="AB83" i="124"/>
  <c r="AA83" i="124"/>
  <c r="P62" i="122"/>
  <c r="S61" i="122"/>
  <c r="C56" i="122" s="1"/>
  <c r="T61" i="122"/>
  <c r="D56" i="122" s="1"/>
  <c r="S49" i="122"/>
  <c r="C55" i="122" s="1"/>
  <c r="P50" i="122"/>
  <c r="T49" i="122"/>
  <c r="D55" i="122" s="1"/>
  <c r="C28" i="122"/>
  <c r="C29" i="122"/>
  <c r="Y66" i="124"/>
  <c r="D27" i="122"/>
  <c r="D28" i="122"/>
  <c r="C31" i="123"/>
  <c r="Z7" i="123"/>
  <c r="Y7" i="123"/>
  <c r="U8" i="123"/>
  <c r="W8" i="123" s="1"/>
  <c r="V9" i="123" s="1"/>
  <c r="R33" i="123"/>
  <c r="M34" i="123"/>
  <c r="Q33" i="123"/>
  <c r="N34" i="123"/>
  <c r="O83" i="124"/>
  <c r="B17" i="136"/>
  <c r="B18" i="136" s="1"/>
  <c r="D8" i="132"/>
  <c r="H68" i="85"/>
  <c r="O19" i="123"/>
  <c r="R19" i="123" s="1"/>
  <c r="D48" i="123" s="1"/>
  <c r="O7" i="123"/>
  <c r="S58" i="124"/>
  <c r="O44" i="123"/>
  <c r="R44" i="123" s="1"/>
  <c r="S72" i="122"/>
  <c r="T58" i="124"/>
  <c r="O40" i="122"/>
  <c r="T39" i="122"/>
  <c r="P40" i="122"/>
  <c r="S39" i="122"/>
  <c r="P59" i="124"/>
  <c r="S82" i="124"/>
  <c r="Q55" i="123"/>
  <c r="C51" i="123" s="1"/>
  <c r="E51" i="123" s="1"/>
  <c r="O73" i="122"/>
  <c r="P73" i="122"/>
  <c r="C41" i="122" s="1"/>
  <c r="P83" i="124"/>
  <c r="C41" i="124" s="1"/>
  <c r="M78" i="123"/>
  <c r="Q77" i="123"/>
  <c r="R77" i="123"/>
  <c r="N78" i="123"/>
  <c r="O66" i="123"/>
  <c r="N67" i="123" s="1"/>
  <c r="C36" i="123" s="1"/>
  <c r="M56" i="123"/>
  <c r="N56" i="123"/>
  <c r="S48" i="124"/>
  <c r="O49" i="124"/>
  <c r="T48" i="124"/>
  <c r="P49" i="124"/>
  <c r="Q83" i="122" l="1"/>
  <c r="O84" i="122" s="1"/>
  <c r="D5" i="132"/>
  <c r="D9" i="132" s="1"/>
  <c r="S71" i="124"/>
  <c r="C56" i="124" s="1"/>
  <c r="E56" i="124" s="1"/>
  <c r="O72" i="124"/>
  <c r="P72" i="124"/>
  <c r="C39" i="124"/>
  <c r="Q50" i="122"/>
  <c r="S50" i="122" s="1"/>
  <c r="Q83" i="124"/>
  <c r="S83" i="124" s="1"/>
  <c r="C57" i="124" s="1"/>
  <c r="Q44" i="123"/>
  <c r="C31" i="122"/>
  <c r="D31" i="122"/>
  <c r="O24" i="122" s="1"/>
  <c r="P24" i="122" s="1"/>
  <c r="Q24" i="122" s="1"/>
  <c r="Q62" i="122"/>
  <c r="S62" i="122" s="1"/>
  <c r="Y82" i="122"/>
  <c r="Q38" i="124"/>
  <c r="S38" i="124" s="1"/>
  <c r="E56" i="122"/>
  <c r="E55" i="122"/>
  <c r="D68" i="85"/>
  <c r="F68" i="85"/>
  <c r="Y68" i="122"/>
  <c r="AB66" i="124"/>
  <c r="AA66" i="124"/>
  <c r="W67" i="124"/>
  <c r="X67" i="124"/>
  <c r="O34" i="123"/>
  <c r="Q34" i="123" s="1"/>
  <c r="Z8" i="123"/>
  <c r="Y8" i="123"/>
  <c r="U9" i="123"/>
  <c r="W9" i="123" s="1"/>
  <c r="V10" i="123" s="1"/>
  <c r="N8" i="123"/>
  <c r="AA7" i="123"/>
  <c r="M35" i="123"/>
  <c r="N35" i="123"/>
  <c r="R34" i="123"/>
  <c r="Q66" i="123"/>
  <c r="P11" i="124"/>
  <c r="O23" i="124"/>
  <c r="T22" i="124"/>
  <c r="S22" i="124"/>
  <c r="P23" i="124"/>
  <c r="C36" i="124" s="1"/>
  <c r="M20" i="123"/>
  <c r="Q19" i="123"/>
  <c r="C48" i="123" s="1"/>
  <c r="E48" i="123" s="1"/>
  <c r="N20" i="123"/>
  <c r="R7" i="123"/>
  <c r="D47" i="123" s="1"/>
  <c r="M8" i="123"/>
  <c r="Q7" i="123"/>
  <c r="C47" i="123" s="1"/>
  <c r="N45" i="123"/>
  <c r="M45" i="123"/>
  <c r="M67" i="123"/>
  <c r="O67" i="123" s="1"/>
  <c r="O45" i="123"/>
  <c r="Q59" i="124"/>
  <c r="Q73" i="122"/>
  <c r="S73" i="122" s="1"/>
  <c r="C57" i="122" s="1"/>
  <c r="Q40" i="122"/>
  <c r="R66" i="123"/>
  <c r="O56" i="123"/>
  <c r="M57" i="123" s="1"/>
  <c r="O78" i="123"/>
  <c r="Q49" i="124"/>
  <c r="N57" i="123"/>
  <c r="Q56" i="123"/>
  <c r="Q72" i="124" l="1"/>
  <c r="T72" i="124" s="1"/>
  <c r="T83" i="122"/>
  <c r="S83" i="122"/>
  <c r="P84" i="122"/>
  <c r="Q84" i="122" s="1"/>
  <c r="P51" i="122"/>
  <c r="O51" i="122"/>
  <c r="T83" i="124"/>
  <c r="D57" i="124" s="1"/>
  <c r="E57" i="124" s="1"/>
  <c r="S72" i="124"/>
  <c r="P60" i="124"/>
  <c r="AD82" i="124" s="1"/>
  <c r="Q11" i="124"/>
  <c r="O12" i="124" s="1"/>
  <c r="C35" i="124"/>
  <c r="C42" i="124" s="1"/>
  <c r="AB29" i="119" s="1"/>
  <c r="AF29" i="119" s="1"/>
  <c r="T50" i="122"/>
  <c r="P63" i="122"/>
  <c r="P39" i="124"/>
  <c r="T38" i="124"/>
  <c r="T62" i="122"/>
  <c r="O63" i="122"/>
  <c r="AA82" i="122"/>
  <c r="X83" i="122"/>
  <c r="W83" i="122"/>
  <c r="AB82" i="122"/>
  <c r="O39" i="124"/>
  <c r="S59" i="124"/>
  <c r="C55" i="124" s="1"/>
  <c r="F71" i="85"/>
  <c r="F76" i="85"/>
  <c r="F79" i="85"/>
  <c r="F75" i="85"/>
  <c r="F70" i="85"/>
  <c r="F74" i="85"/>
  <c r="F73" i="85"/>
  <c r="F78" i="85"/>
  <c r="F77" i="85"/>
  <c r="F72" i="85"/>
  <c r="F69" i="85"/>
  <c r="O13" i="122"/>
  <c r="P13" i="122" s="1"/>
  <c r="C36" i="122" s="1"/>
  <c r="Y67" i="124"/>
  <c r="X68" i="124" s="1"/>
  <c r="X69" i="124" s="1"/>
  <c r="O25" i="122"/>
  <c r="AA68" i="122"/>
  <c r="AB68" i="122"/>
  <c r="W69" i="122"/>
  <c r="X69" i="122"/>
  <c r="T73" i="122"/>
  <c r="D57" i="122" s="1"/>
  <c r="E57" i="122" s="1"/>
  <c r="O74" i="122"/>
  <c r="P74" i="122"/>
  <c r="P25" i="122"/>
  <c r="C37" i="122" s="1"/>
  <c r="S24" i="122"/>
  <c r="T24" i="122"/>
  <c r="O8" i="123"/>
  <c r="N9" i="123" s="1"/>
  <c r="O35" i="123"/>
  <c r="R35" i="123" s="1"/>
  <c r="U10" i="123"/>
  <c r="W10" i="123" s="1"/>
  <c r="Z9" i="123"/>
  <c r="Y9" i="123"/>
  <c r="Q67" i="123"/>
  <c r="C52" i="123" s="1"/>
  <c r="R67" i="123"/>
  <c r="D52" i="123" s="1"/>
  <c r="O60" i="124"/>
  <c r="Q60" i="124" s="1"/>
  <c r="T59" i="124"/>
  <c r="D55" i="124" s="1"/>
  <c r="Q23" i="124"/>
  <c r="D79" i="85"/>
  <c r="D73" i="85"/>
  <c r="D78" i="85"/>
  <c r="D74" i="85"/>
  <c r="D76" i="85"/>
  <c r="D71" i="85"/>
  <c r="D77" i="85"/>
  <c r="D72" i="85"/>
  <c r="D75" i="85"/>
  <c r="D69" i="85"/>
  <c r="D70" i="85"/>
  <c r="P24" i="124"/>
  <c r="P12" i="124"/>
  <c r="O20" i="123"/>
  <c r="N21" i="123" s="1"/>
  <c r="E47" i="123"/>
  <c r="D54" i="123"/>
  <c r="M68" i="123"/>
  <c r="M46" i="123"/>
  <c r="Q45" i="123"/>
  <c r="N46" i="123"/>
  <c r="R45" i="123"/>
  <c r="R56" i="123"/>
  <c r="N68" i="123"/>
  <c r="C71" i="123" s="1"/>
  <c r="S40" i="122"/>
  <c r="P41" i="122"/>
  <c r="T40" i="122"/>
  <c r="O41" i="122"/>
  <c r="N79" i="123"/>
  <c r="C37" i="123" s="1"/>
  <c r="C38" i="123" s="1"/>
  <c r="M79" i="123"/>
  <c r="Q78" i="123"/>
  <c r="R78" i="123"/>
  <c r="O57" i="123"/>
  <c r="S49" i="124"/>
  <c r="O50" i="124"/>
  <c r="P50" i="124"/>
  <c r="T49" i="124"/>
  <c r="E52" i="123"/>
  <c r="C54" i="123"/>
  <c r="O61" i="124" l="1"/>
  <c r="AC82" i="124"/>
  <c r="Q51" i="122"/>
  <c r="O52" i="122" s="1"/>
  <c r="T11" i="124"/>
  <c r="D51" i="124" s="1"/>
  <c r="S11" i="124"/>
  <c r="C51" i="124" s="1"/>
  <c r="O68" i="123"/>
  <c r="Q35" i="123"/>
  <c r="Q39" i="124"/>
  <c r="S39" i="124" s="1"/>
  <c r="E55" i="124"/>
  <c r="Q63" i="122"/>
  <c r="T63" i="122" s="1"/>
  <c r="S84" i="122"/>
  <c r="T84" i="122"/>
  <c r="O85" i="122"/>
  <c r="P85" i="122"/>
  <c r="C42" i="122" s="1"/>
  <c r="Y83" i="122"/>
  <c r="Q74" i="122"/>
  <c r="T74" i="122" s="1"/>
  <c r="Q13" i="122"/>
  <c r="O24" i="124"/>
  <c r="Q24" i="124" s="1"/>
  <c r="P25" i="124" s="1"/>
  <c r="Y69" i="122"/>
  <c r="X70" i="122" s="1"/>
  <c r="X71" i="122" s="1"/>
  <c r="AA67" i="124"/>
  <c r="AB67" i="124"/>
  <c r="W68" i="124"/>
  <c r="Y68" i="124" s="1"/>
  <c r="R8" i="123"/>
  <c r="M9" i="123"/>
  <c r="O9" i="123" s="1"/>
  <c r="R9" i="123" s="1"/>
  <c r="Q8" i="123"/>
  <c r="C72" i="123"/>
  <c r="E41" i="128"/>
  <c r="E39" i="128" s="1"/>
  <c r="Q25" i="122"/>
  <c r="S25" i="122" s="1"/>
  <c r="C53" i="122" s="1"/>
  <c r="V11" i="123"/>
  <c r="Y10" i="123"/>
  <c r="U11" i="123"/>
  <c r="Z10" i="123"/>
  <c r="Q20" i="123"/>
  <c r="R20" i="123"/>
  <c r="T23" i="124"/>
  <c r="D52" i="124" s="1"/>
  <c r="S23" i="124"/>
  <c r="C52" i="124" s="1"/>
  <c r="F80" i="85"/>
  <c r="D80" i="85"/>
  <c r="Q12" i="124"/>
  <c r="P13" i="124" s="1"/>
  <c r="AF33" i="119"/>
  <c r="C75" i="124"/>
  <c r="M21" i="123"/>
  <c r="O21" i="123" s="1"/>
  <c r="O46" i="123"/>
  <c r="R46" i="123" s="1"/>
  <c r="T60" i="124"/>
  <c r="O79" i="123"/>
  <c r="R79" i="123" s="1"/>
  <c r="D53" i="123" s="1"/>
  <c r="Q41" i="122"/>
  <c r="P61" i="124"/>
  <c r="Q61" i="124" s="1"/>
  <c r="S60" i="124"/>
  <c r="R68" i="123"/>
  <c r="Q68" i="123"/>
  <c r="Q57" i="123"/>
  <c r="R57" i="123"/>
  <c r="Q50" i="124"/>
  <c r="P52" i="122" l="1"/>
  <c r="Q52" i="122" s="1"/>
  <c r="T51" i="122"/>
  <c r="S51" i="122"/>
  <c r="C58" i="124"/>
  <c r="E29" i="119" s="1"/>
  <c r="E51" i="124"/>
  <c r="D58" i="124"/>
  <c r="T39" i="124"/>
  <c r="W84" i="122"/>
  <c r="C43" i="122"/>
  <c r="AB33" i="119" s="1"/>
  <c r="AB36" i="119" s="1"/>
  <c r="H49" i="85"/>
  <c r="F53" i="85" s="1"/>
  <c r="X84" i="122"/>
  <c r="AD84" i="122" s="1"/>
  <c r="S63" i="122"/>
  <c r="AB83" i="122"/>
  <c r="AA83" i="122"/>
  <c r="Q85" i="122"/>
  <c r="P26" i="122"/>
  <c r="N10" i="123"/>
  <c r="P14" i="122"/>
  <c r="O14" i="122"/>
  <c r="T13" i="122"/>
  <c r="D52" i="122" s="1"/>
  <c r="S13" i="122"/>
  <c r="C52" i="122" s="1"/>
  <c r="C59" i="122" s="1"/>
  <c r="E33" i="119" s="1"/>
  <c r="S74" i="122"/>
  <c r="AA68" i="124"/>
  <c r="W69" i="124"/>
  <c r="AB68" i="124"/>
  <c r="W70" i="122"/>
  <c r="Y70" i="122" s="1"/>
  <c r="AA69" i="122"/>
  <c r="AB69" i="122"/>
  <c r="M10" i="123"/>
  <c r="Q9" i="123"/>
  <c r="T25" i="122"/>
  <c r="D53" i="122" s="1"/>
  <c r="E53" i="122" s="1"/>
  <c r="O26" i="122"/>
  <c r="W11" i="123"/>
  <c r="U12" i="123" s="1"/>
  <c r="Q79" i="123"/>
  <c r="C53" i="123" s="1"/>
  <c r="Q46" i="123"/>
  <c r="E52" i="124"/>
  <c r="S24" i="124"/>
  <c r="F99" i="85"/>
  <c r="T24" i="124"/>
  <c r="O25" i="124"/>
  <c r="Q25" i="124" s="1"/>
  <c r="D102" i="85"/>
  <c r="F104" i="85" s="1"/>
  <c r="AF36" i="119"/>
  <c r="AF40" i="119" s="1"/>
  <c r="C76" i="124"/>
  <c r="T12" i="124"/>
  <c r="S12" i="124"/>
  <c r="O13" i="124"/>
  <c r="Q13" i="124" s="1"/>
  <c r="P14" i="124" s="1"/>
  <c r="Q21" i="123"/>
  <c r="N22" i="123"/>
  <c r="R21" i="123"/>
  <c r="M22" i="123"/>
  <c r="E30" i="128"/>
  <c r="E26" i="128" s="1"/>
  <c r="S41" i="122"/>
  <c r="T41" i="122"/>
  <c r="E53" i="123"/>
  <c r="E54" i="123" s="1"/>
  <c r="S52" i="122"/>
  <c r="T52" i="122"/>
  <c r="S50" i="124"/>
  <c r="T50" i="124"/>
  <c r="T61" i="124"/>
  <c r="S61" i="124"/>
  <c r="C10" i="133" l="1"/>
  <c r="C73" i="123"/>
  <c r="E58" i="124"/>
  <c r="T29" i="119"/>
  <c r="X29" i="119" s="1"/>
  <c r="G41" i="128" s="1"/>
  <c r="G39" i="128" s="1"/>
  <c r="L29" i="119"/>
  <c r="G30" i="128" s="1"/>
  <c r="G26" i="128" s="1"/>
  <c r="Y69" i="124"/>
  <c r="W70" i="124" s="1"/>
  <c r="Y84" i="122"/>
  <c r="O10" i="123"/>
  <c r="N11" i="123" s="1"/>
  <c r="F57" i="85"/>
  <c r="F55" i="85"/>
  <c r="F52" i="85"/>
  <c r="D51" i="85"/>
  <c r="D53" i="85"/>
  <c r="D56" i="85"/>
  <c r="D54" i="85"/>
  <c r="F54" i="85"/>
  <c r="D59" i="85"/>
  <c r="D50" i="85"/>
  <c r="D60" i="85"/>
  <c r="D57" i="85"/>
  <c r="D55" i="85"/>
  <c r="F50" i="85"/>
  <c r="F60" i="85"/>
  <c r="F59" i="85"/>
  <c r="F56" i="85"/>
  <c r="F58" i="85"/>
  <c r="D58" i="85"/>
  <c r="F51" i="85"/>
  <c r="D52" i="85"/>
  <c r="S85" i="122"/>
  <c r="C58" i="122" s="1"/>
  <c r="T85" i="122"/>
  <c r="D58" i="122" s="1"/>
  <c r="C76" i="122"/>
  <c r="C26" i="134" s="1"/>
  <c r="I26" i="134" s="1"/>
  <c r="C6" i="134" s="1"/>
  <c r="Q26" i="122"/>
  <c r="O27" i="122" s="1"/>
  <c r="Q14" i="122"/>
  <c r="P15" i="122" s="1"/>
  <c r="E52" i="122"/>
  <c r="AB70" i="122"/>
  <c r="AA70" i="122"/>
  <c r="W71" i="122"/>
  <c r="Z11" i="123"/>
  <c r="V12" i="123"/>
  <c r="W12" i="123" s="1"/>
  <c r="Y11" i="123"/>
  <c r="D59" i="122"/>
  <c r="T33" i="119" s="1"/>
  <c r="P26" i="124"/>
  <c r="C77" i="124" s="1"/>
  <c r="S25" i="124"/>
  <c r="T25" i="124"/>
  <c r="O26" i="124"/>
  <c r="L33" i="119"/>
  <c r="S13" i="124"/>
  <c r="T13" i="124"/>
  <c r="O14" i="124"/>
  <c r="Q14" i="124" s="1"/>
  <c r="O22" i="123"/>
  <c r="M23" i="123" s="1"/>
  <c r="T36" i="119" l="1"/>
  <c r="AB69" i="124"/>
  <c r="E36" i="119"/>
  <c r="AB84" i="122"/>
  <c r="AC84" i="122"/>
  <c r="Q10" i="123"/>
  <c r="R10" i="123"/>
  <c r="M11" i="123"/>
  <c r="O11" i="123" s="1"/>
  <c r="Q11" i="123" s="1"/>
  <c r="AA84" i="122"/>
  <c r="X70" i="124"/>
  <c r="AA69" i="124"/>
  <c r="W85" i="122"/>
  <c r="X85" i="122"/>
  <c r="E58" i="122"/>
  <c r="E59" i="122" s="1"/>
  <c r="P27" i="122"/>
  <c r="Q27" i="122" s="1"/>
  <c r="S27" i="122" s="1"/>
  <c r="F98" i="85"/>
  <c r="F100" i="85" s="1"/>
  <c r="F105" i="85" s="1"/>
  <c r="D117" i="85"/>
  <c r="S26" i="122"/>
  <c r="T26" i="122"/>
  <c r="Y71" i="122"/>
  <c r="S14" i="122"/>
  <c r="O15" i="122"/>
  <c r="Q15" i="122" s="1"/>
  <c r="P16" i="122" s="1"/>
  <c r="T14" i="122"/>
  <c r="C14" i="133"/>
  <c r="C30" i="128"/>
  <c r="C26" i="128" s="1"/>
  <c r="Y12" i="123"/>
  <c r="V13" i="123"/>
  <c r="U13" i="123"/>
  <c r="Z12" i="123"/>
  <c r="Q26" i="124"/>
  <c r="O27" i="124" s="1"/>
  <c r="P15" i="124"/>
  <c r="O15" i="124"/>
  <c r="T14" i="124"/>
  <c r="S14" i="124"/>
  <c r="N23" i="123"/>
  <c r="C74" i="123" s="1"/>
  <c r="Q22" i="123"/>
  <c r="R22" i="123"/>
  <c r="Y70" i="124" l="1"/>
  <c r="AA70" i="124" s="1"/>
  <c r="AD70" i="124"/>
  <c r="AD88" i="124" s="1"/>
  <c r="M12" i="123"/>
  <c r="N12" i="123"/>
  <c r="R11" i="123"/>
  <c r="Y85" i="122"/>
  <c r="AB85" i="122" s="1"/>
  <c r="C77" i="122"/>
  <c r="C27" i="134" s="1"/>
  <c r="I27" i="134" s="1"/>
  <c r="C7" i="134" s="1"/>
  <c r="X33" i="119"/>
  <c r="X72" i="122"/>
  <c r="I26" i="128"/>
  <c r="H48" i="85"/>
  <c r="F49" i="85" s="1"/>
  <c r="AA71" i="122"/>
  <c r="W72" i="122"/>
  <c r="AB71" i="122"/>
  <c r="T15" i="122"/>
  <c r="O16" i="122"/>
  <c r="Q16" i="122" s="1"/>
  <c r="P17" i="122" s="1"/>
  <c r="S15" i="122"/>
  <c r="AB70" i="124"/>
  <c r="W71" i="124"/>
  <c r="E10" i="133"/>
  <c r="G10" i="133" s="1"/>
  <c r="W13" i="123"/>
  <c r="Y13" i="123" s="1"/>
  <c r="S26" i="124"/>
  <c r="T26" i="124"/>
  <c r="P27" i="124"/>
  <c r="Q27" i="124" s="1"/>
  <c r="O28" i="124" s="1"/>
  <c r="O28" i="122"/>
  <c r="T27" i="122"/>
  <c r="P28" i="122"/>
  <c r="C78" i="122" s="1"/>
  <c r="C28" i="134" s="1"/>
  <c r="I28" i="134" s="1"/>
  <c r="C8" i="134" s="1"/>
  <c r="Q15" i="124"/>
  <c r="P16" i="124" s="1"/>
  <c r="O23" i="123"/>
  <c r="N24" i="123" s="1"/>
  <c r="O12" i="123" l="1"/>
  <c r="M13" i="123" s="1"/>
  <c r="X71" i="124"/>
  <c r="Y71" i="124" s="1"/>
  <c r="AC70" i="124"/>
  <c r="AC88" i="124" s="1"/>
  <c r="AD90" i="122"/>
  <c r="AB40" i="119" s="1"/>
  <c r="C75" i="123"/>
  <c r="AA85" i="122"/>
  <c r="L36" i="119"/>
  <c r="X36" i="119"/>
  <c r="C14" i="134"/>
  <c r="Y72" i="122"/>
  <c r="AC72" i="122" s="1"/>
  <c r="I40" i="119"/>
  <c r="C41" i="128"/>
  <c r="C39" i="128" s="1"/>
  <c r="O17" i="122"/>
  <c r="Q17" i="122" s="1"/>
  <c r="S17" i="122" s="1"/>
  <c r="S16" i="122"/>
  <c r="T16" i="122"/>
  <c r="E14" i="133"/>
  <c r="Z13" i="123"/>
  <c r="S27" i="124"/>
  <c r="P28" i="124"/>
  <c r="C79" i="124" s="1"/>
  <c r="C78" i="124"/>
  <c r="T27" i="124"/>
  <c r="Q28" i="122"/>
  <c r="S28" i="122" s="1"/>
  <c r="O16" i="124"/>
  <c r="Q16" i="124" s="1"/>
  <c r="S15" i="124"/>
  <c r="T15" i="124"/>
  <c r="D49" i="85"/>
  <c r="R23" i="123"/>
  <c r="M24" i="123"/>
  <c r="O24" i="123" s="1"/>
  <c r="Q23" i="123"/>
  <c r="Q12" i="123" l="1"/>
  <c r="N13" i="123"/>
  <c r="C76" i="123" s="1"/>
  <c r="C77" i="123" s="1"/>
  <c r="C79" i="123" s="1"/>
  <c r="R12" i="123"/>
  <c r="AB71" i="124"/>
  <c r="AA71" i="124"/>
  <c r="W72" i="124"/>
  <c r="X72" i="124"/>
  <c r="AB72" i="122"/>
  <c r="AC90" i="122"/>
  <c r="AA72" i="122"/>
  <c r="W73" i="122"/>
  <c r="X73" i="122"/>
  <c r="R40" i="119"/>
  <c r="I39" i="128"/>
  <c r="I41" i="128" s="1"/>
  <c r="H61" i="85"/>
  <c r="D61" i="85" s="1"/>
  <c r="O18" i="122"/>
  <c r="P18" i="122"/>
  <c r="T17" i="122"/>
  <c r="Q28" i="124"/>
  <c r="T28" i="124" s="1"/>
  <c r="T28" i="122"/>
  <c r="P29" i="122"/>
  <c r="O29" i="122"/>
  <c r="O17" i="124"/>
  <c r="P17" i="124"/>
  <c r="C80" i="124" s="1"/>
  <c r="C81" i="124" s="1"/>
  <c r="C83" i="124" s="1"/>
  <c r="S16" i="124"/>
  <c r="T16" i="124"/>
  <c r="R24" i="123"/>
  <c r="Q24" i="123"/>
  <c r="O13" i="123"/>
  <c r="Y72" i="124" l="1"/>
  <c r="AA72" i="124" s="1"/>
  <c r="T38" i="119"/>
  <c r="E38" i="119"/>
  <c r="I49" i="128"/>
  <c r="Y73" i="122"/>
  <c r="AA73" i="122" s="1"/>
  <c r="AB72" i="124"/>
  <c r="Q18" i="122"/>
  <c r="O19" i="122" s="1"/>
  <c r="F61" i="85"/>
  <c r="S28" i="124"/>
  <c r="C79" i="122"/>
  <c r="C29" i="134" s="1"/>
  <c r="I29" i="134" s="1"/>
  <c r="C9" i="134" s="1"/>
  <c r="Q29" i="122"/>
  <c r="P30" i="122" s="1"/>
  <c r="Q17" i="124"/>
  <c r="Q13" i="123"/>
  <c r="R13" i="123"/>
  <c r="L38" i="119" l="1"/>
  <c r="L40" i="119" s="1"/>
  <c r="E40" i="119"/>
  <c r="T40" i="119"/>
  <c r="X38" i="119"/>
  <c r="X40" i="119" s="1"/>
  <c r="X74" i="122"/>
  <c r="W74" i="122"/>
  <c r="AB73" i="122"/>
  <c r="P19" i="122"/>
  <c r="C81" i="122" s="1"/>
  <c r="C31" i="134" s="1"/>
  <c r="I31" i="134" s="1"/>
  <c r="C11" i="134" s="1"/>
  <c r="F63" i="85"/>
  <c r="T18" i="122"/>
  <c r="S18" i="122"/>
  <c r="D63" i="85"/>
  <c r="T29" i="122"/>
  <c r="S29" i="122"/>
  <c r="O30" i="122"/>
  <c r="Q30" i="122" s="1"/>
  <c r="C80" i="122"/>
  <c r="C30" i="134" s="1"/>
  <c r="S17" i="124"/>
  <c r="T17" i="124"/>
  <c r="F87" i="85" l="1"/>
  <c r="Y74" i="122"/>
  <c r="AB74" i="122" s="1"/>
  <c r="Q19" i="122"/>
  <c r="T19" i="122" s="1"/>
  <c r="H63" i="85"/>
  <c r="H64" i="85"/>
  <c r="D87" i="85"/>
  <c r="D118" i="85"/>
  <c r="C82" i="122"/>
  <c r="C84" i="122" s="1"/>
  <c r="I30" i="134"/>
  <c r="C32" i="134"/>
  <c r="S30" i="122"/>
  <c r="T30" i="122"/>
  <c r="I30" i="128"/>
  <c r="I46" i="128" s="1"/>
  <c r="S19" i="122" l="1"/>
  <c r="H87" i="85"/>
  <c r="AA74" i="122"/>
  <c r="F89" i="85"/>
  <c r="I48" i="128"/>
  <c r="I50" i="128" s="1"/>
  <c r="I32" i="134"/>
  <c r="C10" i="134"/>
  <c r="C12" i="134" s="1"/>
  <c r="C16" i="134" l="1"/>
  <c r="C17" i="134" s="1"/>
  <c r="C18" i="133"/>
  <c r="E18" i="1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27" authorId="0" shapeId="0" xr:uid="{00000000-0006-0000-0000-000004000000}">
      <text>
        <r>
          <rPr>
            <b/>
            <sz val="9"/>
            <color indexed="81"/>
            <rFont val="Tahoma"/>
            <family val="2"/>
          </rPr>
          <t>User:</t>
        </r>
        <r>
          <rPr>
            <sz val="9"/>
            <color indexed="81"/>
            <rFont val="Tahoma"/>
            <family val="2"/>
          </rPr>
          <t xml:space="preserve">
</t>
        </r>
        <r>
          <rPr>
            <sz val="11"/>
            <color indexed="81"/>
            <rFont val="Tahoma"/>
            <family val="2"/>
          </rPr>
          <t>This should be equal to the amount of OPEB Contributions paid by WVDE on behalf of the entity for current employees.  RESAs will have a zero in this field since RESAs have no state aid eligible employees.  This should be the total of revenue picked up by the entity in revenue source code 03915 for FY19.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Joshua Harner</author>
  </authors>
  <commentList>
    <comment ref="AD15" authorId="0" shapeId="0" xr:uid="{DA707F04-1ECA-40AE-90C8-5CDE37AE82D2}">
      <text>
        <r>
          <rPr>
            <b/>
            <sz val="9"/>
            <color indexed="81"/>
            <rFont val="Tahoma"/>
            <charset val="1"/>
          </rPr>
          <t>Joshua Harner:</t>
        </r>
        <r>
          <rPr>
            <sz val="9"/>
            <color indexed="81"/>
            <rFont val="Tahoma"/>
            <charset val="1"/>
          </rPr>
          <t xml:space="preserve">
This number must be entered from the "Final Amortization" tab (first tab) in this sheet.  Make sure to enter the number that corresponds to your LEA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Joshua Harner</author>
  </authors>
  <commentList>
    <comment ref="AD15" authorId="0" shapeId="0" xr:uid="{6BC3BC67-BED1-4EC1-83C8-E7D1DDA099E8}">
      <text>
        <r>
          <rPr>
            <b/>
            <sz val="9"/>
            <color indexed="81"/>
            <rFont val="Tahoma"/>
            <family val="2"/>
          </rPr>
          <t>Joshua Harner:</t>
        </r>
        <r>
          <rPr>
            <sz val="9"/>
            <color indexed="81"/>
            <rFont val="Tahoma"/>
            <family val="2"/>
          </rPr>
          <t xml:space="preserve">
This number must be entered from the "Final Amortization" tab (first tab) in this sheet.  Make sure to enter the number that corresponds to your LEA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8" authorId="0" shapeId="0" xr:uid="{00000000-0006-0000-0900-000001000000}">
      <text>
        <r>
          <rPr>
            <b/>
            <sz val="9"/>
            <color indexed="81"/>
            <rFont val="Tahoma"/>
            <family val="2"/>
          </rPr>
          <t>User:</t>
        </r>
        <r>
          <rPr>
            <sz val="9"/>
            <color indexed="81"/>
            <rFont val="Tahoma"/>
            <family val="2"/>
          </rPr>
          <t xml:space="preserve">
</t>
        </r>
        <r>
          <rPr>
            <sz val="12"/>
            <color indexed="81"/>
            <rFont val="Tahoma"/>
            <family val="2"/>
          </rPr>
          <t>MCVCs must reduce cash contributions to RHBT by the amount allocated to the MCVC from State Aid for that fiscal year.</t>
        </r>
      </text>
    </comment>
    <comment ref="G16" authorId="0" shapeId="0" xr:uid="{00000000-0006-0000-0900-000002000000}">
      <text>
        <r>
          <rPr>
            <b/>
            <sz val="9"/>
            <color indexed="81"/>
            <rFont val="Tahoma"/>
            <family val="2"/>
          </rPr>
          <t>User:</t>
        </r>
        <r>
          <rPr>
            <sz val="9"/>
            <color indexed="81"/>
            <rFont val="Tahoma"/>
            <family val="2"/>
          </rPr>
          <t xml:space="preserve">
</t>
        </r>
        <r>
          <rPr>
            <sz val="14"/>
            <color indexed="81"/>
            <rFont val="Tahoma"/>
            <family val="2"/>
          </rPr>
          <t>MCVCs must reduce cash contributions to RHBT by the amount allocated to the MCVC from State Aid for that fiscal year.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Joshua Harner</author>
  </authors>
  <commentList>
    <comment ref="A25" authorId="0" shapeId="0" xr:uid="{E9591922-FAFA-420D-AF46-FDFA18AC24C8}">
      <text>
        <r>
          <rPr>
            <b/>
            <sz val="9"/>
            <color indexed="81"/>
            <rFont val="Tahoma"/>
            <family val="2"/>
          </rPr>
          <t>Joshua Harner:</t>
        </r>
        <r>
          <rPr>
            <sz val="9"/>
            <color indexed="81"/>
            <rFont val="Tahoma"/>
            <family val="2"/>
          </rPr>
          <t xml:space="preserve">
found on amortization report on the website. Small note all the way to the right of an entity if they opted out.</t>
        </r>
      </text>
    </comment>
    <comment ref="P49" authorId="0" shapeId="0" xr:uid="{01A581C6-A031-4CFA-9961-4641C441195A}">
      <text>
        <r>
          <rPr>
            <b/>
            <sz val="9"/>
            <color indexed="81"/>
            <rFont val="Tahoma"/>
            <charset val="1"/>
          </rPr>
          <t>Joshua Harner:</t>
        </r>
        <r>
          <rPr>
            <sz val="9"/>
            <color indexed="81"/>
            <rFont val="Tahoma"/>
            <charset val="1"/>
          </rPr>
          <t xml:space="preserve">
Change made to correct amortization error by PEIA; CHANGE FORMULA BACK NEXT YEAR (2026)</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Joshua Harner</author>
  </authors>
  <commentList>
    <comment ref="P47" authorId="0" shapeId="0" xr:uid="{68669BBA-ACA1-411C-9E28-4447225830EB}">
      <text>
        <r>
          <rPr>
            <b/>
            <sz val="9"/>
            <color indexed="81"/>
            <rFont val="Tahoma"/>
            <charset val="1"/>
          </rPr>
          <t>Joshua Harner:</t>
        </r>
        <r>
          <rPr>
            <sz val="9"/>
            <color indexed="81"/>
            <rFont val="Tahoma"/>
            <charset val="1"/>
          </rPr>
          <t xml:space="preserve">
Change made to correct amortization error by PEIA; CHANGE FORMULA BACK NEXT YEAR (2026)</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36" authorId="0" shapeId="0" xr:uid="{23F33F36-99A9-45A3-BBF6-C5379A8A4EBC}">
      <text>
        <r>
          <rPr>
            <b/>
            <sz val="11"/>
            <color indexed="81"/>
            <rFont val="Tahoma"/>
            <family val="2"/>
          </rPr>
          <t>User:</t>
        </r>
        <r>
          <rPr>
            <sz val="11"/>
            <color indexed="81"/>
            <rFont val="Tahoma"/>
            <family val="2"/>
          </rPr>
          <t xml:space="preserve">
If an immaterial difference is noted in the cell, include a manual rounding adjustment within cell  C57 or D57 of the "Change in Proportion - LEA" tab in order to zero out this difference.  If the LEA had a deferred inflow for change in proportion in the prior year, key the adjustment into cell C57.  If the LEA had a deferred outflow for change in proportion in the prior year, key the rounding adjustment into cell D57.</t>
        </r>
      </text>
    </comment>
    <comment ref="T36" authorId="0" shapeId="0" xr:uid="{374D8FA5-9EDA-4442-8A5F-CBE395C383D5}">
      <text>
        <r>
          <rPr>
            <b/>
            <sz val="11"/>
            <color indexed="81"/>
            <rFont val="Tahoma"/>
            <family val="2"/>
          </rPr>
          <t>User:</t>
        </r>
        <r>
          <rPr>
            <sz val="11"/>
            <color indexed="81"/>
            <rFont val="Tahoma"/>
            <family val="2"/>
          </rPr>
          <t xml:space="preserve">
If an immaterial difference is noted in the cell, include a manual rounding adjustment within cell  C57 or D57 of the "Change in Proportion - LEA" tab in order to zero out this difference.  If the LEA had a deferred inflow for change in proportion in the prior year, key the adjustment into cell C57.  If the LEA had a deferred outflow for change in proportion in the prior year, key the rounding adjustment into cell D57.</t>
        </r>
      </text>
    </comment>
    <comment ref="AB36" authorId="0" shapeId="0" xr:uid="{00000000-0006-0000-0E00-000002000000}">
      <text>
        <r>
          <rPr>
            <b/>
            <sz val="11"/>
            <color indexed="81"/>
            <rFont val="Tahoma"/>
            <family val="2"/>
          </rPr>
          <t xml:space="preserve">User:
</t>
        </r>
        <r>
          <rPr>
            <sz val="11"/>
            <color indexed="81"/>
            <rFont val="Tahoma"/>
            <family val="2"/>
          </rPr>
          <t>If an immaterial difference is noted in the cell, include a manual rounding adjustment within cell  C40 of the "Change in Proportion - LEA" tab.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5" authorId="0" shapeId="0" xr:uid="{00000000-0006-0000-1700-000002000000}">
      <text>
        <r>
          <rPr>
            <b/>
            <sz val="9"/>
            <color indexed="81"/>
            <rFont val="Tahoma"/>
            <family val="2"/>
          </rPr>
          <t>User:</t>
        </r>
        <r>
          <rPr>
            <sz val="9"/>
            <color indexed="81"/>
            <rFont val="Tahoma"/>
            <family val="2"/>
          </rPr>
          <t xml:space="preserve">
Should be entered as a negative amount</t>
        </r>
      </text>
    </comment>
    <comment ref="F15" authorId="0" shapeId="0" xr:uid="{00000000-0006-0000-1700-000003000000}">
      <text>
        <r>
          <rPr>
            <b/>
            <sz val="9"/>
            <color indexed="81"/>
            <rFont val="Tahoma"/>
            <family val="2"/>
          </rPr>
          <t>User:</t>
        </r>
        <r>
          <rPr>
            <sz val="9"/>
            <color indexed="81"/>
            <rFont val="Tahoma"/>
            <family val="2"/>
          </rPr>
          <t xml:space="preserve">
Should be entered as a negative amount</t>
        </r>
      </text>
    </comment>
    <comment ref="H15" authorId="0" shapeId="0" xr:uid="{00000000-0006-0000-1700-000004000000}">
      <text>
        <r>
          <rPr>
            <b/>
            <sz val="9"/>
            <color indexed="81"/>
            <rFont val="Tahoma"/>
            <family val="2"/>
          </rPr>
          <t>User:</t>
        </r>
        <r>
          <rPr>
            <sz val="9"/>
            <color indexed="81"/>
            <rFont val="Tahoma"/>
            <family val="2"/>
          </rPr>
          <t xml:space="preserve">
Should be entered as a negative amount</t>
        </r>
      </text>
    </comment>
    <comment ref="J15" authorId="0" shapeId="0" xr:uid="{00000000-0006-0000-1700-000005000000}">
      <text>
        <r>
          <rPr>
            <b/>
            <sz val="9"/>
            <color indexed="81"/>
            <rFont val="Tahoma"/>
            <family val="2"/>
          </rPr>
          <t>User:</t>
        </r>
        <r>
          <rPr>
            <sz val="9"/>
            <color indexed="81"/>
            <rFont val="Tahoma"/>
            <family val="2"/>
          </rPr>
          <t xml:space="preserve">
Should be entered as a negative amount</t>
        </r>
      </text>
    </comment>
    <comment ref="L15" authorId="0" shapeId="0" xr:uid="{00000000-0006-0000-1700-000006000000}">
      <text>
        <r>
          <rPr>
            <b/>
            <sz val="9"/>
            <color indexed="81"/>
            <rFont val="Tahoma"/>
            <family val="2"/>
          </rPr>
          <t>User:</t>
        </r>
        <r>
          <rPr>
            <sz val="9"/>
            <color indexed="81"/>
            <rFont val="Tahoma"/>
            <family val="2"/>
          </rPr>
          <t xml:space="preserve">
Should be entered as a negative amount</t>
        </r>
      </text>
    </comment>
    <comment ref="N15" authorId="0" shapeId="0" xr:uid="{00000000-0006-0000-1700-000007000000}">
      <text>
        <r>
          <rPr>
            <b/>
            <sz val="9"/>
            <color indexed="81"/>
            <rFont val="Tahoma"/>
            <family val="2"/>
          </rPr>
          <t>User:</t>
        </r>
        <r>
          <rPr>
            <sz val="9"/>
            <color indexed="81"/>
            <rFont val="Tahoma"/>
            <family val="2"/>
          </rPr>
          <t xml:space="preserve">
Should be entered as a negative amount</t>
        </r>
      </text>
    </comment>
    <comment ref="P15" authorId="0" shapeId="0" xr:uid="{00000000-0006-0000-1700-000008000000}">
      <text>
        <r>
          <rPr>
            <b/>
            <sz val="9"/>
            <color indexed="81"/>
            <rFont val="Tahoma"/>
            <family val="2"/>
          </rPr>
          <t>User:</t>
        </r>
        <r>
          <rPr>
            <sz val="9"/>
            <color indexed="81"/>
            <rFont val="Tahoma"/>
            <family val="2"/>
          </rPr>
          <t xml:space="preserve">
Should be entered as a negative amount</t>
        </r>
      </text>
    </comment>
    <comment ref="R15" authorId="0" shapeId="0" xr:uid="{00000000-0006-0000-1700-000009000000}">
      <text>
        <r>
          <rPr>
            <b/>
            <sz val="9"/>
            <color indexed="81"/>
            <rFont val="Tahoma"/>
            <family val="2"/>
          </rPr>
          <t>User:</t>
        </r>
        <r>
          <rPr>
            <sz val="9"/>
            <color indexed="81"/>
            <rFont val="Tahoma"/>
            <family val="2"/>
          </rPr>
          <t xml:space="preserve">
Should be entered as a negative amount</t>
        </r>
      </text>
    </comment>
    <comment ref="T15" authorId="0" shapeId="0" xr:uid="{00000000-0006-0000-1700-00000A000000}">
      <text>
        <r>
          <rPr>
            <b/>
            <sz val="9"/>
            <color indexed="81"/>
            <rFont val="Tahoma"/>
            <family val="2"/>
          </rPr>
          <t>User:</t>
        </r>
        <r>
          <rPr>
            <sz val="9"/>
            <color indexed="81"/>
            <rFont val="Tahoma"/>
            <family val="2"/>
          </rPr>
          <t xml:space="preserve">
Should be entered as a negative amount</t>
        </r>
      </text>
    </comment>
  </commentList>
</comments>
</file>

<file path=xl/sharedStrings.xml><?xml version="1.0" encoding="utf-8"?>
<sst xmlns="http://schemas.openxmlformats.org/spreadsheetml/2006/main" count="1403" uniqueCount="679">
  <si>
    <t>Debit</t>
  </si>
  <si>
    <t>Credit</t>
  </si>
  <si>
    <t>Total of conversion entries made - check for balance</t>
  </si>
  <si>
    <t>GENERAL REVENUE-UNRESTRICTED STATE AID</t>
  </si>
  <si>
    <t>Note: Accounts in all CAPS are used ONLY off-system - these accounts are NOT in WVEIS</t>
  </si>
  <si>
    <t>Total</t>
  </si>
  <si>
    <t>(This information will appear in the Notes to the Financial Statements)</t>
  </si>
  <si>
    <t>Totals</t>
  </si>
  <si>
    <t>check total</t>
  </si>
  <si>
    <t>must be zero</t>
  </si>
  <si>
    <t>Deferred Outflows of Resources</t>
  </si>
  <si>
    <t>Deferred Inflows of Resources</t>
  </si>
  <si>
    <t>SAMPLE COUNTY, WEST VIRGINIA, BOARD OF EDUCATION</t>
  </si>
  <si>
    <t>Notes to the Financial Statements Section</t>
  </si>
  <si>
    <t>Note:  only enter values into cells that are highlighted in yellow.  Keying over formulas will cause the template to become out of balance.</t>
  </si>
  <si>
    <t>REQUIRED SUPPLEMENTARY INFORMATION</t>
  </si>
  <si>
    <t>WARNING: Sheet is protected to prevent unintentional override of formulas.</t>
  </si>
  <si>
    <t>LEA Employer Contributions</t>
  </si>
  <si>
    <t>LEA Employer Allocation Percentage</t>
  </si>
  <si>
    <t>LEA Net Pension Liability</t>
  </si>
  <si>
    <t>Account Code</t>
  </si>
  <si>
    <t>Function Description</t>
  </si>
  <si>
    <t>Instruction - Regular Ed.</t>
  </si>
  <si>
    <t>Instruction - Special Ed.</t>
  </si>
  <si>
    <t>Instruction - Vocational Ed.</t>
  </si>
  <si>
    <t>Instruction - Other Instr. Ed.</t>
  </si>
  <si>
    <t>Instruction - Non-Public Ed.</t>
  </si>
  <si>
    <t>Instruction - Adult/Continuing Ed.</t>
  </si>
  <si>
    <t>Instruction - Community Service</t>
  </si>
  <si>
    <t>Instruction - Co-Curr. &amp; Extra-Curr.</t>
  </si>
  <si>
    <t>Supp. Serv. - Student</t>
  </si>
  <si>
    <t>Supp. Serv. - Instr. Staff</t>
  </si>
  <si>
    <t>Supp. Serv. - Gen. Admin</t>
  </si>
  <si>
    <t>Supp. Serv. - School Admin</t>
  </si>
  <si>
    <t>Supp. Serv. - Central Services</t>
  </si>
  <si>
    <t>Supp. Serv. - O &amp; M</t>
  </si>
  <si>
    <t>Supp. Serv. - Student Transport</t>
  </si>
  <si>
    <t>Supp. Serv. - Other</t>
  </si>
  <si>
    <t>Food Service Operations</t>
  </si>
  <si>
    <t>Community Service Programs</t>
  </si>
  <si>
    <t>Summary for Conversion Entries:</t>
  </si>
  <si>
    <t>%</t>
  </si>
  <si>
    <t>that is associated with the employer. (Adjusts on-behalf revenue/expense for fringe benefits through Unrestricted State Aid)</t>
  </si>
  <si>
    <t>This functional allocation is based upon actual contributions</t>
  </si>
  <si>
    <t>made during the measurement period.  That is why the prior</t>
  </si>
  <si>
    <t>year functional expense allocation percentages are being used.</t>
  </si>
  <si>
    <t>Unrestricted State Aid</t>
  </si>
  <si>
    <t>Going forward, the most current year's information is to be presented in the left-most column, with the previous years to follow on the right.</t>
  </si>
  <si>
    <t>Liability Assumed by State of WV for Board</t>
  </si>
  <si>
    <t>SCHEDULE OF DISTRICT CONTRIBUTIONS</t>
  </si>
  <si>
    <t>Contractually required contribution</t>
  </si>
  <si>
    <t>Contributions in relation to the contractually required contribution</t>
  </si>
  <si>
    <t>Should be entered as a negative amount</t>
  </si>
  <si>
    <t>Contribution deficiency (excess)</t>
  </si>
  <si>
    <t>counties should present information for those years for which information is available.</t>
  </si>
  <si>
    <t>Calculation of Expense attributable to UAAL Special Funding:</t>
  </si>
  <si>
    <t>(Allocates across all employers)</t>
  </si>
  <si>
    <t>Total contributions from allocation schedules</t>
  </si>
  <si>
    <t>Less:</t>
  </si>
  <si>
    <t>Subsidy Contribution</t>
  </si>
  <si>
    <t>Basis of UAAL Expense Allocation</t>
  </si>
  <si>
    <t>LEA's Percentage Contributed</t>
  </si>
  <si>
    <t>Calculation of Expense attributable to Subsidy Special Funding:</t>
  </si>
  <si>
    <t>Total contributions from non-LEA employers</t>
  </si>
  <si>
    <t>Basis of Subsidy Expense Allocation</t>
  </si>
  <si>
    <t>Calculation of Liability Assumed by State of WV Associated with the Board (Disclosure Item Only)</t>
  </si>
  <si>
    <t>Disclosure Item Only</t>
  </si>
  <si>
    <t>Difference</t>
  </si>
  <si>
    <t>of Resources</t>
  </si>
  <si>
    <t>of Resource</t>
  </si>
  <si>
    <t>Changes in proportion and differences between School Board</t>
  </si>
  <si>
    <t>contributions and proportionate share of contributions</t>
  </si>
  <si>
    <t>Deferred</t>
  </si>
  <si>
    <t>Outflows</t>
  </si>
  <si>
    <t>Inflows</t>
  </si>
  <si>
    <t>Amortization of Deferred Outflows and Deferred Inflows of Resources</t>
  </si>
  <si>
    <t>Years ending June 30,</t>
  </si>
  <si>
    <t>Thereafter</t>
  </si>
  <si>
    <t>1.0% Decrease</t>
  </si>
  <si>
    <t>School Board's proportionate share of</t>
  </si>
  <si>
    <t>associated with the School Board.</t>
  </si>
  <si>
    <t>1.0% Increase</t>
  </si>
  <si>
    <t>Revised LEA Contribution for allocation of UAAL amounts</t>
  </si>
  <si>
    <t>@</t>
  </si>
  <si>
    <t>#</t>
  </si>
  <si>
    <t>LINKED</t>
  </si>
  <si>
    <t>RESA's calculated allocation percentage</t>
  </si>
  <si>
    <t>MCVC's calculated allocation percentage</t>
  </si>
  <si>
    <t>Employer</t>
  </si>
  <si>
    <t>Total Deferred Outflows of Resources</t>
  </si>
  <si>
    <t>Total Deferred Inflows of Resources</t>
  </si>
  <si>
    <t>Employer Allocation Percentage</t>
  </si>
  <si>
    <t xml:space="preserve">audited schedules and agree the calculated totals in the spreadsheet below to the totals in the audited schedules.  </t>
  </si>
  <si>
    <t>ADDITIONAL INFORMATION</t>
  </si>
  <si>
    <t xml:space="preserve">Measurement Period Ending June 30, </t>
  </si>
  <si>
    <t>(Curr. MP)</t>
  </si>
  <si>
    <t>(1st PY MP)</t>
  </si>
  <si>
    <t>(2nd PY MP)</t>
  </si>
  <si>
    <t>(3rd PY MP)</t>
  </si>
  <si>
    <t>(4th PY MP)</t>
  </si>
  <si>
    <t>(5th PY MP)</t>
  </si>
  <si>
    <t>(6th PY MP)</t>
  </si>
  <si>
    <t>Average Remaining Service Lives (in Years)</t>
  </si>
  <si>
    <t>Current Fiscal Year End</t>
  </si>
  <si>
    <t>Beginning Bal.</t>
  </si>
  <si>
    <t>Amortization</t>
  </si>
  <si>
    <t>Ending</t>
  </si>
  <si>
    <t>Amortization of Current Measurement Period Amounts</t>
  </si>
  <si>
    <t>Meas. Per.</t>
  </si>
  <si>
    <t>Amortization of 1st PY Measurement Period Amounts</t>
  </si>
  <si>
    <t>Amortization of 2nd PY Measurement Period Amounts</t>
  </si>
  <si>
    <t>Amortization of 3rd PY Measurement Period Amounts</t>
  </si>
  <si>
    <t>Amortization of 4th PY Measurement Period Amounts</t>
  </si>
  <si>
    <t>Amortization of 5th PY Measurement Period Amounts</t>
  </si>
  <si>
    <t>Amortization of 6th PY Measurement Period Amounts</t>
  </si>
  <si>
    <t>Summary of current year amortization of amounts deferred due to changes in proportion:</t>
  </si>
  <si>
    <t>Total CY amortization of deferred amounts due to changes in proportion</t>
  </si>
  <si>
    <t>Summary of Balances of Deferred Amounts due to Changes in Proportion:</t>
  </si>
  <si>
    <t>Deferred Outflows</t>
  </si>
  <si>
    <t>Deferred (Inflows)</t>
  </si>
  <si>
    <t>Balance of Deferred Outflows/(Inflows) due to Changes in Proportions</t>
  </si>
  <si>
    <t>Measurement Period Ending June 30,</t>
  </si>
  <si>
    <t>Calculation of Changes in Proportion for RESAs</t>
  </si>
  <si>
    <t>Calculation of Changes in Proportion for LEAs</t>
  </si>
  <si>
    <t>Net Proportionate Share - RESA</t>
  </si>
  <si>
    <t>Net Proportionate Share - LEA</t>
  </si>
  <si>
    <t>Calculation of Changes in Proportion for MCVCs</t>
  </si>
  <si>
    <t>Net Proportionate Share - MCVC</t>
  </si>
  <si>
    <t>^</t>
  </si>
  <si>
    <t>Outflow</t>
  </si>
  <si>
    <t>Inflow</t>
  </si>
  <si>
    <t>Tab Instructions:  Do not delete this tab.  It must be included whether you are a RESA, RESA fiscal agent, or not.  If you are not a RESA or RESA fiscal agent, leave zeros in the yellow input cells below.</t>
  </si>
  <si>
    <t>Prior year (aka measurement period) functional allocation percentages</t>
  </si>
  <si>
    <t>FOR RESA USE ONLY!</t>
  </si>
  <si>
    <t>FOR LEA USE ONLY!</t>
  </si>
  <si>
    <t>14.XXXXX.X11XX</t>
  </si>
  <si>
    <t>14.XXXXX.X12XX</t>
  </si>
  <si>
    <t>14.XXXXX.X13XX</t>
  </si>
  <si>
    <t>14.XXXXX.X14XX</t>
  </si>
  <si>
    <t>14.XXXXX.X15XX</t>
  </si>
  <si>
    <t>14.XXXXX.X16XX</t>
  </si>
  <si>
    <t>14.XXXXX.X18XX</t>
  </si>
  <si>
    <t>14.XXXXX.X19XX</t>
  </si>
  <si>
    <t>14.XXXXX.X21XX</t>
  </si>
  <si>
    <t>14.XXXXX.X22XX</t>
  </si>
  <si>
    <t>14.XXXXX.X23XX</t>
  </si>
  <si>
    <t>14.XXXXX.X24XX</t>
  </si>
  <si>
    <t>14.XXXXX.X25XX</t>
  </si>
  <si>
    <t>14.XXXXX.X26XX</t>
  </si>
  <si>
    <t>14.XXXXX.X27XX</t>
  </si>
  <si>
    <t>14.XXXXX.X29XX</t>
  </si>
  <si>
    <t>14.XXXXX.X31XX</t>
  </si>
  <si>
    <t>14.XXXXX.X33XX</t>
  </si>
  <si>
    <t>64.XXXXX.X11XX</t>
  </si>
  <si>
    <t>64.XXXXX.X12XX</t>
  </si>
  <si>
    <t>64.XXXXX.X13XX</t>
  </si>
  <si>
    <t>64.XXXXX.X14XX</t>
  </si>
  <si>
    <t>64.XXXXX.X15XX</t>
  </si>
  <si>
    <t>64.XXXXX.X16XX</t>
  </si>
  <si>
    <t>64.XXXXX.X18XX</t>
  </si>
  <si>
    <t>64.XXXXX.X19XX</t>
  </si>
  <si>
    <t>64.XXXXX.X21XX</t>
  </si>
  <si>
    <t>64.XXXXX.X22XX</t>
  </si>
  <si>
    <t>64.XXXXX.X23XX</t>
  </si>
  <si>
    <t>64.XXXXX.X24XX</t>
  </si>
  <si>
    <t>64.XXXXX.X25XX</t>
  </si>
  <si>
    <t>64.XXXXX.X26XX</t>
  </si>
  <si>
    <t>64.XXXXX.X27XX</t>
  </si>
  <si>
    <t>64.XXXXX.X29XX</t>
  </si>
  <si>
    <t>64.XXXXX.X31XX</t>
  </si>
  <si>
    <t>64.XXXXX.X33XX</t>
  </si>
  <si>
    <t>FOR MCVC USE ONLY!</t>
  </si>
  <si>
    <t>Entity Code</t>
  </si>
  <si>
    <t>LEA</t>
  </si>
  <si>
    <t>RESA</t>
  </si>
  <si>
    <t>MCVC</t>
  </si>
  <si>
    <t>Rev. Src. Code</t>
  </si>
  <si>
    <t>Amount must be zero for all RESAs</t>
  </si>
  <si>
    <t>Current year activity</t>
  </si>
  <si>
    <t>Manual Rounding Adjustments</t>
  </si>
  <si>
    <t>Balance at End of Measurement Period</t>
  </si>
  <si>
    <t>Balance at Beg. of Measurement Period</t>
  </si>
  <si>
    <t>Current Year Contr. After Measurement Date</t>
  </si>
  <si>
    <t>Total adjustment needed to Deferred Outflows of Resources</t>
  </si>
  <si>
    <t>Total adjustment needed to Deferred Inflows of Resources</t>
  </si>
  <si>
    <t>Changes in Proportion and Differences Between Employer Contributions and Proportionate Share of Contributions</t>
  </si>
  <si>
    <t>Net Amortization of Deferred Amounts from Changes in Proportion and Differences Between Employer Contributions and Proportionate Share of Contributions</t>
  </si>
  <si>
    <t>Deferred Outflow/(Inflow) due to Change in Proportion - Deferred Outflows</t>
  </si>
  <si>
    <t>Deferred Outflow/(Inflow) due to Change in Proportion - Deferred Inflows</t>
  </si>
  <si>
    <t>Net Deferred Outflow/(Inflow) due to Change in Proportion</t>
  </si>
  <si>
    <t>Amortization of Change In Proportion by Year</t>
  </si>
  <si>
    <t>^ - Insert manual rounding amount here in order to balance the "Net LEA Amounts" tab.  Amounts should be clearly immaterial rounding differences.</t>
  </si>
  <si>
    <t>Higher Ed., WVDE, &amp; Other non-LEA Employers</t>
  </si>
  <si>
    <t>Employer's Percentage Contributed</t>
  </si>
  <si>
    <t>Employer's Portion of Subsidy Expense</t>
  </si>
  <si>
    <t>Employer's Contribution from allocation schedules</t>
  </si>
  <si>
    <t>Plus: Portion of Subsidy contributions attributable to the Employer</t>
  </si>
  <si>
    <t>a</t>
  </si>
  <si>
    <t>i</t>
  </si>
  <si>
    <t>x</t>
  </si>
  <si>
    <t>Total Allocated State Aid support for the current measurement period.</t>
  </si>
  <si>
    <t>Check totals from Statement of Net Position</t>
  </si>
  <si>
    <t>Difference Should Be Zero</t>
  </si>
  <si>
    <t>Allocation of Collective Future Amortization of Deferred Amounts</t>
  </si>
  <si>
    <t>Changes in</t>
  </si>
  <si>
    <t>Proportion</t>
  </si>
  <si>
    <t>Deferred Outflows/</t>
  </si>
  <si>
    <t xml:space="preserve">(Inflows) of </t>
  </si>
  <si>
    <t>Resources due to</t>
  </si>
  <si>
    <t>Resources</t>
  </si>
  <si>
    <t xml:space="preserve">Allocated from </t>
  </si>
  <si>
    <t>Audited Schedules</t>
  </si>
  <si>
    <t>Totals for</t>
  </si>
  <si>
    <t>Note disclosures</t>
  </si>
  <si>
    <t>Summary of Future Amortizations (by fiscal year)</t>
  </si>
  <si>
    <t>Fiscal Year Ending June 30,</t>
  </si>
  <si>
    <t>Net Amounts</t>
  </si>
  <si>
    <t>Amounts to be</t>
  </si>
  <si>
    <t>Recognized in</t>
  </si>
  <si>
    <t>net of all deferred outflows and deferred inflows for the district at the end</t>
  </si>
  <si>
    <t>Net deferred outflows/(inflows) per Statement of Net Position</t>
  </si>
  <si>
    <t>Difference should be immaterial or zero</t>
  </si>
  <si>
    <t>of the current fiscal year, less the current year balance of deferred outflows</t>
  </si>
  <si>
    <t>The deferred outflows for contributions made after the measurement period</t>
  </si>
  <si>
    <t>are not included in the amortization table because the full amount is recognized</t>
  </si>
  <si>
    <t xml:space="preserve">separately in the footnote disclosure.  See reconciliation of the future amortizations  </t>
  </si>
  <si>
    <t>Net deferred outflows/(inflows) subject to future amortization</t>
  </si>
  <si>
    <t>Less Deferred Outflows for Contributions made after the measurement period (will be expensed during the subsequent fiscal year and is not included in the amortization table)</t>
  </si>
  <si>
    <t>Current Discount Rate</t>
  </si>
  <si>
    <t>for contributions made after the end of the current measurement period.</t>
  </si>
  <si>
    <t>in pension expense during the subsequent fiscal year and is discussed</t>
  </si>
  <si>
    <t>RESA (Calculated Amts)</t>
  </si>
  <si>
    <t>MCVC (Calculated Amts)</t>
  </si>
  <si>
    <t>MCVC (Calculated Amts )</t>
  </si>
  <si>
    <t>Adjustments to Pension Expense to push prior period restatement through current year activity (when not material).</t>
  </si>
  <si>
    <t>Diff. should be immaterial or zero</t>
  </si>
  <si>
    <r>
      <rPr>
        <b/>
        <sz val="12"/>
        <rFont val="Arial"/>
        <family val="2"/>
      </rPr>
      <t>Plan Level</t>
    </r>
    <r>
      <rPr>
        <sz val="12"/>
        <rFont val="Arial"/>
        <family val="2"/>
      </rPr>
      <t xml:space="preserve"> Total Contributions</t>
    </r>
  </si>
  <si>
    <r>
      <rPr>
        <b/>
        <sz val="12"/>
        <rFont val="Arial"/>
        <family val="2"/>
      </rPr>
      <t>Plan Level</t>
    </r>
    <r>
      <rPr>
        <sz val="12"/>
        <rFont val="Arial"/>
        <family val="2"/>
      </rPr>
      <t xml:space="preserve"> Deferred Outflows</t>
    </r>
  </si>
  <si>
    <r>
      <rPr>
        <b/>
        <sz val="12"/>
        <rFont val="Arial"/>
        <family val="2"/>
      </rPr>
      <t>Plan Level</t>
    </r>
    <r>
      <rPr>
        <sz val="12"/>
        <rFont val="Arial"/>
        <family val="2"/>
      </rPr>
      <t xml:space="preserve"> Deferred Inflows</t>
    </r>
  </si>
  <si>
    <r>
      <rPr>
        <b/>
        <sz val="12"/>
        <rFont val="Arial"/>
        <family val="2"/>
      </rPr>
      <t xml:space="preserve">Plan Level </t>
    </r>
    <r>
      <rPr>
        <sz val="12"/>
        <rFont val="Arial"/>
        <family val="2"/>
      </rPr>
      <t>Deferred Inflows</t>
    </r>
  </si>
  <si>
    <t>Note: The total of all future amortizations in cell C12 should agree to the</t>
  </si>
  <si>
    <t>amortizations in rows 14 through 17, below.</t>
  </si>
  <si>
    <t>District's covered payroll</t>
  </si>
  <si>
    <t>of its covered payroll</t>
  </si>
  <si>
    <t>How to determine the amount to enter for the "district's covered payroll."</t>
  </si>
  <si>
    <t>Contributions as a percentage of covered payroll</t>
  </si>
  <si>
    <t>Debit/(Credit) to Unrestricted State Aid for Contributions by the State outside of the Special Funding Situation</t>
  </si>
  <si>
    <t>Changes in Assumptions</t>
  </si>
  <si>
    <t>Changes in assumptions</t>
  </si>
  <si>
    <t>Password for protected sheet: BOE2018</t>
  </si>
  <si>
    <t>RESA Calculations for June 30, 2017 Measurement Date:</t>
  </si>
  <si>
    <t>CONVERSION ENTRIES FOR GASB 75</t>
  </si>
  <si>
    <t>Proportionate Share of collective net OPEB liability</t>
  </si>
  <si>
    <t>Note:  GASB 75 requires the accumulation of 10 years worth of comparative data for this required schedule.</t>
  </si>
  <si>
    <t>Data prior to 2018 is unavailable.</t>
  </si>
  <si>
    <t>RETIREE HEALTH BENEFIT TRUST FUND</t>
  </si>
  <si>
    <t>SCHEDULE OF THE DISTRICT'S PROPORTIONATE SHARE OF THE NET OPEB LIABILITY</t>
  </si>
  <si>
    <t>RHBT Plan Fiduciary Net Position</t>
  </si>
  <si>
    <t>RHBT Total OPEB Liability</t>
  </si>
  <si>
    <t xml:space="preserve">Instructions: Key amounts from the Audited GASB 75 Schedules into the yellow cells below.  Pay close attention to the measurement period dates in the </t>
  </si>
  <si>
    <t>Average Remaining Service Life in Years (from Notes to GASB 75 Schedules)</t>
  </si>
  <si>
    <t>Sensitivity of the Net OPEB Liability to Changes in the Healthcare Cost Trend Rates</t>
  </si>
  <si>
    <t>Sensitivity Analysis of the Net OPEB Liability to Changes in the Discount Rate</t>
  </si>
  <si>
    <t>Total Plan Contributions (from audited GASB 75 Schedules)</t>
  </si>
  <si>
    <t>Fiscal Agent Totals from GASB 75 Audited Schedules</t>
  </si>
  <si>
    <t>Net Fiscal Agent Amounts for GASB 75 Entries (Calculated Amts)</t>
  </si>
  <si>
    <t>GASB 75 Adjustment of State Aid Support</t>
  </si>
  <si>
    <t>District's proportion of the net OPEB liability (asset)</t>
  </si>
  <si>
    <t>District's proportionate share of the net OPEB liability (asset)</t>
  </si>
  <si>
    <t>State's proportionate share of the net OPEB liability (asset) associated with the district</t>
  </si>
  <si>
    <t>District's proportionate share of the net OPEB liability (asset) as a percentage</t>
  </si>
  <si>
    <t>School Board's proportionate</t>
  </si>
  <si>
    <t>U8</t>
  </si>
  <si>
    <t>U9</t>
  </si>
  <si>
    <t>U10</t>
  </si>
  <si>
    <t>Net OPEB liability</t>
  </si>
  <si>
    <t>OPEB Expense: Expenditures-Instruction</t>
  </si>
  <si>
    <t>OPEB Expense: Expenditures-support services - student</t>
  </si>
  <si>
    <t>OPEB Expense: Expenditures-support services - instructional staff</t>
  </si>
  <si>
    <t>OPEB Expense: Expenditures-support services - general administration</t>
  </si>
  <si>
    <t>OPEB Expense: Expenditures-support services - school administration</t>
  </si>
  <si>
    <t>OPEB Expense: Expenditures-support services - central services</t>
  </si>
  <si>
    <t>OPEB Expense: Expenditures-support services - operations and maintenance</t>
  </si>
  <si>
    <t>OPEB Expense: Expenditures-support services - student transportation</t>
  </si>
  <si>
    <t>OPEB Expense: Expenditures-support services - other support services</t>
  </si>
  <si>
    <t>OPEB Expense: Expenditures-food services</t>
  </si>
  <si>
    <t>OPEB Expense: Expenditures-community services</t>
  </si>
  <si>
    <t>OPEB Expense: Expenditures-Instruction (Used for rounding adjustment in this entry only)</t>
  </si>
  <si>
    <t xml:space="preserve">GASB 75  - To Record Current Year Changes in the District's Proportionate Share of OPEB Amounts per the </t>
  </si>
  <si>
    <t xml:space="preserve">and revenue for the portion of the nonemployer contributing entity's total proportionate share of collective OPEB expense </t>
  </si>
  <si>
    <t>Current year GASB 75 Sch. Activity</t>
  </si>
  <si>
    <t>Summary of Changes in Proportionate Share of Net OPEB Liability (NOL)</t>
  </si>
  <si>
    <t>Summary of Changes in Deferred Outflows of Resources Related to OPEB</t>
  </si>
  <si>
    <t>Summary of Changes in Deferred Inflows of Resources Related to OPEB</t>
  </si>
  <si>
    <t>OPEB Expense</t>
  </si>
  <si>
    <t>LEA Totals from GASB 75 Audited Schedules</t>
  </si>
  <si>
    <t>Net LEA Amounts for GASB 75 Entries (Calculated Amts)</t>
  </si>
  <si>
    <t>Current Year Audited GASB 75 Schedules</t>
  </si>
  <si>
    <t>School Board contributions subsequent to the measurement date</t>
  </si>
  <si>
    <t xml:space="preserve">1.0% Decrease   </t>
  </si>
  <si>
    <t xml:space="preserve">1.0% Increase  </t>
  </si>
  <si>
    <t>`</t>
  </si>
  <si>
    <t>Total allocated OPEB expense per GASB 75</t>
  </si>
  <si>
    <t>Obj. 218</t>
  </si>
  <si>
    <t>Object 218</t>
  </si>
  <si>
    <t>JE #U9</t>
  </si>
  <si>
    <t>Net Deferred Outflows/(Inflows) per Audited GASB 75 Schedules</t>
  </si>
  <si>
    <t>OPEB Expense Attributable to Subsidy</t>
  </si>
  <si>
    <t>Total OPEB Expense picked up by State for LEA</t>
  </si>
  <si>
    <t>Calculation of NOL attributable to Subsidy Special Funding:</t>
  </si>
  <si>
    <t>NOL Attributable to State Aid Subsidy</t>
  </si>
  <si>
    <t>LEA's Portion of Subsidy NOL</t>
  </si>
  <si>
    <t>Calculation of NOL attributable to UAAL Special Funding:</t>
  </si>
  <si>
    <t>State of WV Special Funding - OPEB Supplemental for Unfunded Liability</t>
  </si>
  <si>
    <t>State of WV Special Funding - Financial Stability Fund</t>
  </si>
  <si>
    <t>State of WV Special Funding - Public School Support Plan (PSSP)</t>
  </si>
  <si>
    <t>RHBT Plan Totals</t>
  </si>
  <si>
    <t>Collective Amounts per Notes to the Audited GASB 75 Schedules for the current Measurement Period</t>
  </si>
  <si>
    <t>Financial Stability Fund</t>
  </si>
  <si>
    <t>OPEB Expense Attributable to Financial Stability Fund</t>
  </si>
  <si>
    <t>Employer's Portion of UAAL and Financial Stability Fund Expense</t>
  </si>
  <si>
    <t>OPEB Supplemental for Unfunded Liability</t>
  </si>
  <si>
    <t xml:space="preserve">OPEB Expense Attributable to OPEB Supplemental for Unfunded Liability
</t>
  </si>
  <si>
    <t xml:space="preserve">NOL Attributable to OPEB Supplemental for Unfunded Liability
</t>
  </si>
  <si>
    <t>NOL Attributable to Financial Stability Fund</t>
  </si>
  <si>
    <t>Total NOL Attributable to Unfunded Liability and Financial Stability Fund</t>
  </si>
  <si>
    <t>LEA's Portion of Unfunded Liability and Financial Stability Fund NOL</t>
  </si>
  <si>
    <r>
      <rPr>
        <b/>
        <sz val="12"/>
        <rFont val="Arial"/>
        <family val="2"/>
      </rPr>
      <t>Plan Level</t>
    </r>
    <r>
      <rPr>
        <sz val="12"/>
        <rFont val="Arial"/>
        <family val="2"/>
      </rPr>
      <t xml:space="preserve"> NOL</t>
    </r>
  </si>
  <si>
    <t>RESA Employer Contributions to OPEB</t>
  </si>
  <si>
    <t>MCVC Employer Contributions to OPEB</t>
  </si>
  <si>
    <t>Employer Contributions</t>
  </si>
  <si>
    <t xml:space="preserve">Paragraphs 111 and 113 of Statement 75 require an employer that has a special funding situation to recognize OPEB expense </t>
  </si>
  <si>
    <t>Proportionate Share of OPEB Expense</t>
  </si>
  <si>
    <t>Total adjustment needed to Proportionate Share of N0L</t>
  </si>
  <si>
    <t>03915</t>
  </si>
  <si>
    <t>RHBT OPEB Allocation</t>
  </si>
  <si>
    <t>On Behalf Revenue Input:</t>
  </si>
  <si>
    <t>Deferred Outflow/(Inflow) due to Change in Proportion - NOL</t>
  </si>
  <si>
    <t>Total OPEB Expense</t>
  </si>
  <si>
    <t>GASB 75 Adjustment to State Aid Support (paragraphs 111 and 113 of GASB Statement No. 75)</t>
  </si>
  <si>
    <t xml:space="preserve">Paragraphs 111 and 113 of Statement 75 require an employer that has a special funding situation to recognize pension expense and revenue for the portion of the nonemployer contributing entity's total proportionate share of collective pension expense that is associated with the employer.  </t>
  </si>
  <si>
    <t>LEA's Percentage Contributed (from calculation of JE #10 above)</t>
  </si>
  <si>
    <t>Total portion of NOL associated with the School Board</t>
  </si>
  <si>
    <t>Schedule of OPEB Deferred Outflows and Deferred Inflows of Resources</t>
  </si>
  <si>
    <t xml:space="preserve">    share of the RHBT</t>
  </si>
  <si>
    <t>Enter amount of the Board's RHBT covered payroll</t>
  </si>
  <si>
    <t xml:space="preserve">Deferred Outflows of Resources </t>
  </si>
  <si>
    <t>Total OPEB Expenses Attributable to Unfunded Liability
 and Financial Stability Fund</t>
  </si>
  <si>
    <t>Original balance of OPEB expense at the fund level (object 218 only)</t>
  </si>
  <si>
    <t>Balance of OPEB Expense prior to JE# U9 &amp; U10 for current year GASB 75 activity</t>
  </si>
  <si>
    <t>Total OPEB expense under GASB 75</t>
  </si>
  <si>
    <t>Ending Balance in OPEB Expense for RHBT at the DW Level</t>
  </si>
  <si>
    <t>OPEB Expense per GASB 75 Schedules</t>
  </si>
  <si>
    <t>OPEB Expense for paragraphs 111 &amp; 113 of GASB 75</t>
  </si>
  <si>
    <t>Summary of Entries to OPEB Expense</t>
  </si>
  <si>
    <t>West Virginia Retiree Health Benefit Trust Fund</t>
  </si>
  <si>
    <t>Schedule of Other Post-Employment Amounts by Employer</t>
  </si>
  <si>
    <t>Schedule of Employer Other PostEmployment Benefits Allocations</t>
  </si>
  <si>
    <t>Employer Name</t>
  </si>
  <si>
    <t>Discount Rate (from Notes to the GASB 75 Schedules)</t>
  </si>
  <si>
    <t>Schedule of Employer other Post-Employment Benefits Allocations</t>
  </si>
  <si>
    <t>This information carries to the JE's in the "GASB 75 JEs" tab.</t>
  </si>
  <si>
    <t xml:space="preserve">OPEB Expense </t>
  </si>
  <si>
    <t xml:space="preserve">Current Healthcare Cost Trend Rate </t>
  </si>
  <si>
    <t>Plan fiduciary net position as a percentage of the total OPEB liability</t>
  </si>
  <si>
    <t>The following information was obtained from the Schedule of Net OPEB Liability and Changes in OPEB Liability that is contained in the Executive Summary Section of the RHBT Financial Plan Report as of the end of the measurement period:</t>
  </si>
  <si>
    <t>U11</t>
  </si>
  <si>
    <t>JE #U9 - to remove current on-behalf revenue/expense and defer district contributions after the measurement period</t>
  </si>
  <si>
    <t>JE #U10 - to record current year GASB 75 activity per audited schedules</t>
  </si>
  <si>
    <t>JE #U11 - to record state aid support due to the special funding situation</t>
  </si>
  <si>
    <t>JE #U10</t>
  </si>
  <si>
    <t>Net Deferred Outflows/(Inflows) per schedule above (exclusive of entry JE #U9)</t>
  </si>
  <si>
    <t>JE# U11</t>
  </si>
  <si>
    <t>Entry is based upon actual WVEIS postings for the unfunded OPEB on behalf entry.</t>
  </si>
  <si>
    <t>Amounts should be entered into the "OPEB Contr Input" tabs.</t>
  </si>
  <si>
    <t>GASB 75 - To Record Beginning Balances of the District's Proportionate Share of Collective Net OPEB Liability and Deferred Amounts Related to OPEB</t>
  </si>
  <si>
    <t>NET POSITION</t>
  </si>
  <si>
    <t xml:space="preserve">           Deferred Inflows of Resources</t>
  </si>
  <si>
    <t>Password for protected sheet: BOE2019</t>
  </si>
  <si>
    <t>(This entry is needed to record the District's beginning proportionate share of the RHBT deferred inflows of resources, deferred outflow of resources, and collective net OPEB liability.  It adjusts beginning net position to agree to prior year's ending net position)</t>
  </si>
  <si>
    <t>RESA Calculations for June 30, 2018 Measurement Date:</t>
  </si>
  <si>
    <t>Enter amount from PY GASB 75 template for measurement period 6/30/17</t>
  </si>
  <si>
    <t>Object 215</t>
  </si>
  <si>
    <t>Input amounts from the current year and prior year Expenditure by Function report for Objects 215 and 218.</t>
  </si>
  <si>
    <t>Objects 215 &amp; 218</t>
  </si>
  <si>
    <t>Key data from WVEIS Exp. By Function reports for object codes 215 and 218 for both the current fiscal year (FY19) and the prior fiscal year (FY18) into the yellow cells .  You may need to unprotect this worksheet and add additional rows if your county has posted OPEB contributions to accounts other than those listed above.  You will then need to update the "Summary for Conversion Entries" within this worksheet in order for the JEs tab to update properly.</t>
  </si>
  <si>
    <t>Input amounts from the current year and prior year Expenditure by Function report for Objects 215 &amp; 218</t>
  </si>
  <si>
    <t>Obj. 215</t>
  </si>
  <si>
    <t>Input amounts from the current year and prior year Expenditure by Function report for Objects 215 &amp; 218.</t>
  </si>
  <si>
    <t>The district's covered payroll amount should be taken directly from the payroll totals from the PRHBT Sequel Report. If you are a fiscal agent, you must deduct any amounts related to the ESC or MCVC that were included in the Sequel report.  This RSI schedule is as of the end of each measurement period; therefore, you must use the sequel reports for the year that corresponds to the measurement period reported in the column headings above.</t>
  </si>
  <si>
    <t>Contributions to the OPEB plan from the School Board</t>
  </si>
  <si>
    <t>CY Proportion</t>
  </si>
  <si>
    <t>PY Proportion</t>
  </si>
  <si>
    <t>Difference Between CY and PY Proportion</t>
  </si>
  <si>
    <t>Summary of Information for Financial Statement Notes</t>
  </si>
  <si>
    <t>Recognized OPEB Expense</t>
  </si>
  <si>
    <t>Support Provided by the State, Revenue</t>
  </si>
  <si>
    <t>Data prior to 2017 is unavailable.</t>
  </si>
  <si>
    <t>DO Difference</t>
  </si>
  <si>
    <t>Pension Expense Difference</t>
  </si>
  <si>
    <t>Known Difference</t>
  </si>
  <si>
    <t>Check Totals (should equal zero)</t>
  </si>
  <si>
    <t>Deferred Outflow Difference</t>
  </si>
  <si>
    <t>Reconciled Difference</t>
  </si>
  <si>
    <t>Known Difference Calculation</t>
  </si>
  <si>
    <r>
      <t xml:space="preserve">Note: Information for the current measurement period and first prior year measurement period are linked within the file. The fiscal years in this tab will be rolled forward annually until all prior year deferred balances have been fully amortized. </t>
    </r>
    <r>
      <rPr>
        <b/>
        <u/>
        <sz val="12"/>
        <color rgb="FFFF0000"/>
        <rFont val="Arial"/>
        <family val="2"/>
      </rPr>
      <t>The only input required on this page would be for 2016's proportionate share percentage and any manual rounding adjustments that may be needed.</t>
    </r>
    <r>
      <rPr>
        <sz val="12"/>
        <color rgb="FFFF0000"/>
        <rFont val="Arial"/>
        <family val="2"/>
      </rPr>
      <t xml:space="preserve"> These would be input into the yellow highlighted cells below.</t>
    </r>
  </si>
  <si>
    <t>Should not be needed for FY20 Financial Statements</t>
  </si>
  <si>
    <t>Changes in Proportion and Differences Between  Employer Contributions and Proportionate Share of Contributions</t>
  </si>
  <si>
    <r>
      <t xml:space="preserve">Details of the OPEB plan level amortization schedules are provided in the notes to the issued GASB 75 schedules.  The only amounts that the district (LEA or MCVC) will have to provide for the amortization schedules are the future amortizations of deferred outflows and deferred inflows of resources caused by the district's change in proportion.  Those amounts are calculated within the various "Change in Proportion" tabs within this template.  Therefore, this tab is only used to input the future amortization of other deferred amounts from the GASB 75 schedules. </t>
    </r>
    <r>
      <rPr>
        <b/>
        <sz val="12"/>
        <color rgb="FFFF0000"/>
        <rFont val="Arial"/>
        <family val="2"/>
      </rPr>
      <t xml:space="preserve"> </t>
    </r>
    <r>
      <rPr>
        <b/>
        <u/>
        <sz val="12"/>
        <color rgb="FFFF0000"/>
        <rFont val="Arial"/>
        <family val="2"/>
      </rPr>
      <t xml:space="preserve">For the CY, these amounts have already been input, therefore, this tab requires no input. </t>
    </r>
    <r>
      <rPr>
        <sz val="12"/>
        <color rgb="FFFF0000"/>
        <rFont val="Arial"/>
        <family val="2"/>
      </rPr>
      <t>These amounts will be allocated to the district based upon the district's allocation percentage.  The resulting amortization amounts will then populate into the "Amort of Def. Amounts" note disclosure tab within this workbook.</t>
    </r>
  </si>
  <si>
    <t xml:space="preserve">DO NOT DELETE THIS TAB </t>
  </si>
  <si>
    <t>Total Deferred Outflow Difference</t>
  </si>
  <si>
    <t>Total Pension Expense Difference</t>
  </si>
  <si>
    <t>This tab is used for ALL LEAs and MCVCs</t>
  </si>
  <si>
    <t>County</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</si>
  <si>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</si>
  <si>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</si>
  <si>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</si>
  <si>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</si>
  <si>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</si>
  <si>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</si>
  <si>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</si>
  <si>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</si>
  <si>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</si>
  <si>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</si>
  <si>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</si>
  <si>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</si>
  <si>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</si>
  <si>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</si>
  <si>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</si>
  <si>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</si>
  <si>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</si>
  <si>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</si>
  <si>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</si>
  <si>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</si>
  <si>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</si>
  <si>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</si>
  <si>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</si>
  <si>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</si>
  <si>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</si>
  <si>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</si>
  <si>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McDowell</t>
  </si>
  <si>
    <t>Mercer</t>
  </si>
  <si>
    <t>Mineral</t>
  </si>
  <si>
    <t>Mingo</t>
  </si>
  <si>
    <t>Monongalia</t>
  </si>
  <si>
    <t>Monroe</t>
  </si>
  <si>
    <t>Morgan</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</si>
  <si>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</si>
  <si>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</si>
  <si>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</si>
  <si>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</si>
  <si>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</si>
  <si>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</si>
  <si>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</si>
  <si>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</si>
  <si>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</si>
  <si>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</si>
  <si>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</si>
  <si>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</si>
  <si>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</si>
  <si>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</si>
  <si>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</si>
  <si>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</si>
  <si>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</si>
  <si>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</si>
  <si>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</si>
  <si>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</si>
  <si>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</si>
  <si>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</si>
  <si>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EPIC</t>
  </si>
  <si>
    <t>MSESC</t>
  </si>
  <si>
    <t>SESC</t>
  </si>
  <si>
    <t>County Total</t>
  </si>
  <si>
    <t>OPEB Total</t>
  </si>
  <si>
    <t>Changes in Proportion and Difference Between Employer Contributions and Proportionate Share of Contributions</t>
  </si>
  <si>
    <t>Reallocation of Opt-Out Employer Change in Proportionate Share</t>
  </si>
  <si>
    <t>Differences Between Expected and Actual Non-Investment Experience</t>
  </si>
  <si>
    <t>Difference Between Expected and Actual Investment Earnings</t>
  </si>
  <si>
    <t>Amortization of Reallocation</t>
  </si>
  <si>
    <t>Difference between projected and actual investment earnings</t>
  </si>
  <si>
    <t>Difference Between Expected and Actual Non-Investment Experience</t>
  </si>
  <si>
    <t>Differences between expected and actual non-investment experience</t>
  </si>
  <si>
    <t>N/A</t>
  </si>
  <si>
    <t>for Re-allocation of</t>
  </si>
  <si>
    <t>Opt-Out Employers</t>
  </si>
  <si>
    <t>Net Difference Between Expected and Actual Investment Earnings</t>
  </si>
  <si>
    <t>Net OPEB Liability/(Asset)</t>
  </si>
  <si>
    <t>11/12.XXXXX.X11XX</t>
  </si>
  <si>
    <t>11/12.XXXXX.X12XX</t>
  </si>
  <si>
    <t>11/12.XXXXX.X13XX</t>
  </si>
  <si>
    <t>11/12.XXXXX.X14XX</t>
  </si>
  <si>
    <t>11/12.XXXXX.X15XX</t>
  </si>
  <si>
    <t>11/12.XXXXX.X16XX</t>
  </si>
  <si>
    <t>11/12.XXXXX.X18XX</t>
  </si>
  <si>
    <t>11/12.XXXXX.X19XX</t>
  </si>
  <si>
    <t>11/12.XXXXX.X21XX</t>
  </si>
  <si>
    <t>11/12.XXXXX.X22XX</t>
  </si>
  <si>
    <t>11/12.XXXXX.X23XX</t>
  </si>
  <si>
    <t>11/12.XXXXX.X24XX</t>
  </si>
  <si>
    <t>11/12.XXXXX.X25XX</t>
  </si>
  <si>
    <t>11/12.XXXXX.X26XX</t>
  </si>
  <si>
    <t>11/12.XXXXX.X27XX</t>
  </si>
  <si>
    <t>11/12.XXXXX.X29XX</t>
  </si>
  <si>
    <t>11/12.XXXXX.X31XX</t>
  </si>
  <si>
    <t>11/12.XXXXX.X33XX</t>
  </si>
  <si>
    <t>61/71.XXXXX.X11XX</t>
  </si>
  <si>
    <t>61/71.XXXXX.X12XX</t>
  </si>
  <si>
    <t>61/71.XXXXX.X13XX</t>
  </si>
  <si>
    <t>61/71.XXXXX.X14XX</t>
  </si>
  <si>
    <t>61/71.XXXXX.X15XX</t>
  </si>
  <si>
    <t>61/71.XXXXX.X16XX</t>
  </si>
  <si>
    <t>61/71.XXXXX.X18XX</t>
  </si>
  <si>
    <t>61/71.XXXXX.X19XX</t>
  </si>
  <si>
    <t>61/71.XXXXX.X21XX</t>
  </si>
  <si>
    <t>61/71.XXXXX.X22XX</t>
  </si>
  <si>
    <t>61/71.XXXXX.X23XX</t>
  </si>
  <si>
    <t>61/71.XXXXX.X24XX</t>
  </si>
  <si>
    <t>61/71.XXXXX.X25XX</t>
  </si>
  <si>
    <t>61/71.XXXXX.X26XX</t>
  </si>
  <si>
    <t>61/71.XXXXX.X27XX</t>
  </si>
  <si>
    <t>61/71.XXXXX.X29XX</t>
  </si>
  <si>
    <t>61/71.XXXXX.X31XX</t>
  </si>
  <si>
    <t>61/71.XXXXX.X33XX</t>
  </si>
  <si>
    <t>13/63.XXXXX.X11XX</t>
  </si>
  <si>
    <t>13/63.XXXXX.X12XX</t>
  </si>
  <si>
    <t>13/63.XXXXX.X13XX</t>
  </si>
  <si>
    <t>13/63.XXXXX.X14XX</t>
  </si>
  <si>
    <t>13/63.XXXXX.X15XX</t>
  </si>
  <si>
    <t>13/63.XXXXX.X16XX</t>
  </si>
  <si>
    <t>13/63.XXXXX.X18XX</t>
  </si>
  <si>
    <t>13/63.XXXXX.X19XX</t>
  </si>
  <si>
    <t>13/63.XXXXX.X21XX</t>
  </si>
  <si>
    <t>13/63.XXXXX.X22XX</t>
  </si>
  <si>
    <t>13/63.XXXXX.X23XX</t>
  </si>
  <si>
    <t>13/63.XXXXX.X24XX</t>
  </si>
  <si>
    <t>13/63.XXXXX.X25XX</t>
  </si>
  <si>
    <t>13/63.XXXXX.X26XX</t>
  </si>
  <si>
    <t>13/63.XXXXX.X27XX</t>
  </si>
  <si>
    <t>13/63.XXXXX.X29XX</t>
  </si>
  <si>
    <t>13/63.XXXXX.X31XX</t>
  </si>
  <si>
    <t>13/63.XXXXX.X33XX</t>
  </si>
  <si>
    <t>63/73.XXXXX.X11XX</t>
  </si>
  <si>
    <t>63/73.XXXXX.X12XX</t>
  </si>
  <si>
    <t>63/73.XXXXX.X13XX</t>
  </si>
  <si>
    <t>63/73.XXXXX.X14XX</t>
  </si>
  <si>
    <t>63/73.XXXXX.X15XX</t>
  </si>
  <si>
    <t>63/73.XXXXX.X16XX</t>
  </si>
  <si>
    <t>63/73.XXXXX.X18XX</t>
  </si>
  <si>
    <t>63/73.XXXXX.X19XX</t>
  </si>
  <si>
    <t>63/73.XXXXX.X21XX</t>
  </si>
  <si>
    <t>63/73.XXXXX.X22XX</t>
  </si>
  <si>
    <t>63/73.XXXXX.X23XX</t>
  </si>
  <si>
    <t>63/73.XXXXX.X24XX</t>
  </si>
  <si>
    <t>63/73.XXXXX.X25XX</t>
  </si>
  <si>
    <t>63/73.XXXXX.X26XX</t>
  </si>
  <si>
    <t>63/73.XXXXX.X27XX</t>
  </si>
  <si>
    <t>63/73.XXXXX.X29XX</t>
  </si>
  <si>
    <t>63/73.XXXXX.X31XX</t>
  </si>
  <si>
    <t>63/73.XXXXX.X33XX</t>
  </si>
  <si>
    <r>
      <rPr>
        <b/>
        <sz val="12"/>
        <rFont val="Arial"/>
        <family val="2"/>
      </rPr>
      <t>Plan Level</t>
    </r>
    <r>
      <rPr>
        <sz val="12"/>
        <rFont val="Arial"/>
        <family val="2"/>
      </rPr>
      <t xml:space="preserve"> Opt-Outs</t>
    </r>
  </si>
  <si>
    <r>
      <t>Plan Level</t>
    </r>
    <r>
      <rPr>
        <sz val="12"/>
        <rFont val="Arial"/>
        <family val="2"/>
      </rPr>
      <t xml:space="preserve"> Opt-Outs</t>
    </r>
  </si>
  <si>
    <t>Note: Net OPEB Liability, Deferred Outflows, and Deferred Inflows of resources should always be entered as POSITIVE numbers. Net OPEB Asset, Pension Expense numbers, even if negative, should reflect what is on the audited allocation schedules.</t>
  </si>
  <si>
    <t>School Board's proportionate share of the net OPEB liability (asset)</t>
  </si>
  <si>
    <t>State's proportionate share of the net OPEB liability (asset)</t>
  </si>
  <si>
    <t>Total portion of net OPEB liability (asset)  associated with the school board</t>
  </si>
  <si>
    <t>the RHBT net OPEB liability (asset)</t>
  </si>
  <si>
    <t>net OPEB liability (asset)</t>
  </si>
  <si>
    <t>(insert name of LEA)</t>
  </si>
  <si>
    <t>FYE 6/30/2022:</t>
  </si>
  <si>
    <t>For fiscal year ended 6/30/2023, only the FY 2023, 2022, 2021, 2020, 2019 and 2018 contribution information is available.  Until a full 10-year trend is available,</t>
  </si>
  <si>
    <t>Deferred Outflow/(Inflow) due to New Opt-Outs</t>
  </si>
  <si>
    <t xml:space="preserve"> </t>
  </si>
  <si>
    <t xml:space="preserve">           Proportionate Share of collective net OPEB liability (asset)</t>
  </si>
  <si>
    <t>Net OPEB Liability (Asset)</t>
  </si>
  <si>
    <t>As of and for the Year Ended June 30, 2023</t>
  </si>
  <si>
    <t>FY2024</t>
  </si>
  <si>
    <t>MCVC Calculations for June 30, 2023 Measurement Date:</t>
  </si>
  <si>
    <t>7th PY MP</t>
  </si>
  <si>
    <t>Amortization of 7th PY Measurement Period Amounts</t>
  </si>
  <si>
    <t>FYE 6/30/2023:</t>
  </si>
  <si>
    <t>NOA with 1.0% Decrease in Discount Rate (from Notes to GASB 75 Schedules)</t>
  </si>
  <si>
    <t>NOA with 1.0% Increase in Discount Rate (from Notes to GASB 75 Schedules)</t>
  </si>
  <si>
    <t>NOA with 1.0% Decrease in healthcare cost trend rate (from notes to GASB 75 schedules)</t>
  </si>
  <si>
    <t>NOA with 1.0% Increase in healthcare cost trend rate (from notes to GASB 75 schedules)</t>
  </si>
  <si>
    <t>Schedule of Other Postemployment Benefits Amounts By Employer</t>
  </si>
  <si>
    <t>NOL/(NOA Rollforward</t>
  </si>
  <si>
    <t>Employer Account Number</t>
  </si>
  <si>
    <t xml:space="preserve">Differences Between Expected and Actual Non-Investment Experience </t>
  </si>
  <si>
    <t>Net Difference Between Expected and Actual  Investment Earnings</t>
  </si>
  <si>
    <t>Net Amortization of Deferred Amounts from Changes in Proportion and Differences Between Employer Contributions and Proportionate Share of Contributions + Amortization of Reallocation</t>
  </si>
  <si>
    <t>Prior Year NOL/(NOA)</t>
  </si>
  <si>
    <t>OPEB Expense Per Current Year Schedule</t>
  </si>
  <si>
    <t>Employer Contributions Per Current Year Schedule</t>
  </si>
  <si>
    <t>Prior Year Deferred Outflow</t>
  </si>
  <si>
    <t>Currect Year Deferred Outflow</t>
  </si>
  <si>
    <t>Change in Deferred Outflow</t>
  </si>
  <si>
    <t>Prior Year Deferred Inflow</t>
  </si>
  <si>
    <t>Current Year Deferred Inflow</t>
  </si>
  <si>
    <t>Change in Deferred Inflow</t>
  </si>
  <si>
    <t>Current Year NOA (Calculated)</t>
  </si>
  <si>
    <t>Currect Year NOA (Per Report)</t>
  </si>
  <si>
    <t>Variance $</t>
  </si>
  <si>
    <t>Barbour Co Board Of Education</t>
  </si>
  <si>
    <t>Berkeley Co Board Of Education</t>
  </si>
  <si>
    <t>Boone Co Board Of Education</t>
  </si>
  <si>
    <t>Braxton Co Board Of Education</t>
  </si>
  <si>
    <t>Brooke Co Board of Education</t>
  </si>
  <si>
    <t>Cabell Co Board Of Education</t>
  </si>
  <si>
    <t>Calhoun Co Board of Education</t>
  </si>
  <si>
    <t>Clay Co Board of Education</t>
  </si>
  <si>
    <t>Doddridge Co Board Of Education</t>
  </si>
  <si>
    <t>Fayette Co Board Of Education</t>
  </si>
  <si>
    <t>Gilmer Co Board Of Education</t>
  </si>
  <si>
    <t>Grant Co Board of Education</t>
  </si>
  <si>
    <t>Greenbrier Co Board of Education</t>
  </si>
  <si>
    <t>Hampshire Co Board of Education</t>
  </si>
  <si>
    <t>Hancock Co Board of Education</t>
  </si>
  <si>
    <t>Hardy Co Board of Education</t>
  </si>
  <si>
    <t>Harrison Co Board of Education</t>
  </si>
  <si>
    <t>Jackson Co Board of Education</t>
  </si>
  <si>
    <t>Jefferson Co Board of Education</t>
  </si>
  <si>
    <t>Kanawha Co Board of Education</t>
  </si>
  <si>
    <t>Lewis Co Board of Education</t>
  </si>
  <si>
    <t>Lincoln Co Board of Education</t>
  </si>
  <si>
    <t>Logan Co Board Of Education</t>
  </si>
  <si>
    <t>Marion Co Board of Education</t>
  </si>
  <si>
    <t>Marshall Co Board of Education</t>
  </si>
  <si>
    <t>Mason Co Board of Education</t>
  </si>
  <si>
    <t>McDowell Co Board of Education</t>
  </si>
  <si>
    <t>Mercer Co Board Of Education</t>
  </si>
  <si>
    <t>Mineral Co Board of Education</t>
  </si>
  <si>
    <t>Mingo Co Board of Education</t>
  </si>
  <si>
    <t>Monongalia Co Board of Education</t>
  </si>
  <si>
    <t>Monroe Co Board Of Education</t>
  </si>
  <si>
    <t>Morgan Co Board Of Education</t>
  </si>
  <si>
    <t>Nicholas Co Board of Education</t>
  </si>
  <si>
    <t>Ohio Co Board of Education</t>
  </si>
  <si>
    <t>Pendleton Co Board of Education</t>
  </si>
  <si>
    <t>Pleasants Co Board of Education</t>
  </si>
  <si>
    <t>Pocahontas Co Board of Education</t>
  </si>
  <si>
    <t>Preston Co Board of Education</t>
  </si>
  <si>
    <t>Putnam Co Board of Education</t>
  </si>
  <si>
    <t>Raleigh Co Board of Education</t>
  </si>
  <si>
    <t>Randolph Co Board Of Education</t>
  </si>
  <si>
    <t>Ritchie Co Board of Education</t>
  </si>
  <si>
    <t>Roane Co Board of Education</t>
  </si>
  <si>
    <t>Summers Co Board of Education</t>
  </si>
  <si>
    <t>Taylor Co Board of Education</t>
  </si>
  <si>
    <t>Tucker Co Board of Education</t>
  </si>
  <si>
    <t>Tyler Co Board of Education</t>
  </si>
  <si>
    <t>Upshur Co Board of Education</t>
  </si>
  <si>
    <t>Wayne Co Board of Education</t>
  </si>
  <si>
    <t>Webster Co Board of Education</t>
  </si>
  <si>
    <t>Wetzel Co Board of Education</t>
  </si>
  <si>
    <t>Wirt Co Board of Education</t>
  </si>
  <si>
    <t>Wood Co Board of Education</t>
  </si>
  <si>
    <t>Wyoming Co Board of Education</t>
  </si>
  <si>
    <t>Final Amortization of Reallocation</t>
  </si>
  <si>
    <t>Eastern Panhandle Instructional Cooperative (EPIC)</t>
  </si>
  <si>
    <t>Mountain State Educational Services Cooperative (MSESC)</t>
  </si>
  <si>
    <t>Southern Education Services (SESC)</t>
  </si>
  <si>
    <t>FOR THE FISCAL YEAR ENDED JUNE 30, 2025</t>
  </si>
  <si>
    <t>Password for protected sheet: BOE2025</t>
  </si>
  <si>
    <t>GASB 75  - To Record Deferred Outflows of Resources for Employer Contributions after the Measurement Date (Object 215 &amp; 218)</t>
  </si>
  <si>
    <t>(note that the Unrestricted State Aid amount is the CY OPEB allocation (Fund 2541) on the "PEIA Reallocation XX Final with PEIA and RHBT Split Totals" document)</t>
  </si>
  <si>
    <t>As of and for the Year Ended June 30, 2024</t>
  </si>
  <si>
    <t>FY2025</t>
  </si>
  <si>
    <t>Key data from WVEIS Exp. By Function reports for object codes 215 and 218 for both the current fiscal year and the prior fiscal year into the yellow cells.  Please also enter the appropriate amounts for the on behalf revenue recognized by the county (rev source 03915).  This amount will come from the WVEIS Revenue by Source report for fiscal year ended June 30, 2025.  The 2021 On Behalf number will come from the PY GASB 75 Template. You may need to unprotect this worksheet and add additional rows if your county has posted OPEB contributions to accounts other than those listed above.  You will then need to update the "Summary for Conversion Entries" within this worksheet in order for the JEs tab to update properly.</t>
  </si>
  <si>
    <t>MCVC Calculations for June 30, 2024 Measurement Date:</t>
  </si>
  <si>
    <t>Enter amount from PY GASB 75 template for measurement period 6/30/23</t>
  </si>
  <si>
    <t>2024 State Aid Funding</t>
  </si>
  <si>
    <t>Amount obtained from Fund 2541 Annual total on the"PEIA Reallocation 24 Final with monthly split" document provided with this template.</t>
  </si>
  <si>
    <r>
      <t>Tab instructions:  This tab is used to generate the necessary amounts for conversion entry JE# U10.  The beginning balances will all come from the PY audited DW Statement of Net Position.</t>
    </r>
    <r>
      <rPr>
        <b/>
        <u/>
        <sz val="12"/>
        <color rgb="FFFF0000"/>
        <rFont val="Arial"/>
        <family val="2"/>
      </rPr>
      <t xml:space="preserve"> If you had an asset in the PY, enter negative numbers in row 13.</t>
    </r>
    <r>
      <rPr>
        <sz val="12"/>
        <color rgb="FFFF0000"/>
        <rFont val="Arial"/>
        <family val="2"/>
      </rPr>
      <t xml:space="preserve"> All other numbers should be entered as positives.  If you are not a fiscal agent county for a MCVC please enter zeros for the beginning MCVC balances.</t>
    </r>
  </si>
  <si>
    <t>8th PY MP</t>
  </si>
  <si>
    <r>
      <t xml:space="preserve">Note: Information for the current measurement period and first prior year measurement period are linked within the file.  The fiscal years in this tab will be rolled forward annually until all prior year deferred balances have been fully amortized.  </t>
    </r>
    <r>
      <rPr>
        <b/>
        <u/>
        <sz val="12"/>
        <color rgb="FFFF0000"/>
        <rFont val="Arial"/>
        <family val="2"/>
      </rPr>
      <t>The only input required on this page will be 2016-2022's proportionate share percentages and any manual rounding adjustments that may be needed.</t>
    </r>
    <r>
      <rPr>
        <sz val="12"/>
        <color rgb="FFFF0000"/>
        <rFont val="Arial"/>
        <family val="2"/>
      </rPr>
      <t xml:space="preserve">  When you enter the 2016-2022's Net Proportionate Share, enter them in the yellow highlighted cells above.  If you are not a fiscal agent of a former RESA, please leave the percentages in the RESA line as zero.  These amounts will come from the PY GASB 75 template.</t>
    </r>
  </si>
  <si>
    <r>
      <t xml:space="preserve">Note: Information for the current measurement period and first prior year measurement period are linked within the file.  The fiscal years in this tab will be rolled forward annually until all prior year deferred balances have been fully amortized.  </t>
    </r>
    <r>
      <rPr>
        <b/>
        <u/>
        <sz val="12"/>
        <color rgb="FFFF0000"/>
        <rFont val="Arial"/>
        <family val="2"/>
      </rPr>
      <t>The only input required on this page will be 2016-2022's proportionate share percentages and any manual rounding adjustments that may be needed</t>
    </r>
    <r>
      <rPr>
        <sz val="12"/>
        <color rgb="FFFF0000"/>
        <rFont val="Arial"/>
        <family val="2"/>
      </rPr>
      <t>.  When you enter the 2016-2022's Net Proportionate Share, enter them in the yellow highlighted cells above.  These amounts will come from the PY GASB 75 template.</t>
    </r>
  </si>
  <si>
    <t>Measurement Date of June 30, 2024</t>
  </si>
  <si>
    <t>FOR THE MEASUREMENT PERIOD ENDED JUNE 30, 2024</t>
  </si>
  <si>
    <t>FYE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</si>
</sst>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_(&quot;$&quot;* #,##0_);_(&quot;$&quot;* \(#,##0\);_(&quot;$&quot;* &quot;-&quot;??_);_(@_)"/>
    <numFmt numFmtId="167" formatCode="0.000%"/>
    <numFmt numFmtId="168" formatCode="0.00000%"/>
    <numFmt numFmtId="169" formatCode="0.000000%"/>
    <numFmt numFmtId="170" formatCode="0.0000000%"/>
    <numFmt numFmtId="171" formatCode="0.000000000%"/>
    <numFmt numFmtId="172" formatCode="_(* #,##0.0000_);_(* \(#,##0.0000\);_(* &quot;-&quot;??_);_(@_)"/>
    <numFmt numFmtId="173" formatCode="_(* #,##0.000_);_(* \(#,##0.000\);_(* &quot;-&quot;??_);_(@_)"/>
    <numFmt numFmtId="174" formatCode="0.00000000%"/>
    <numFmt numFmtId="175" formatCode="0.0000000000%"/>
    <numFmt numFmtId="176" formatCode="_(* #,##0.000_);_(* \(#,##0.000\);_(* &quot;-&quot;_);_(@_)"/>
  </numFmts>
  <fonts count="79" x14ac:knownFonts="1">
    <font>
      <sz val="12"/>
      <name val="Arial"/>
    </font>
    <font>
      <sz val="12"/>
      <name val="Arial"/>
      <family val="2"/>
    </font>
    <font>
      <sz val="10"/>
      <name val="Arial"/>
      <family val="2"/>
    </font>
    <font>
      <b/>
      <sz val="10"/>
      <name val="Arial"/>
      <family val="2"/>
    </font>
    <font>
      <b/>
      <sz val="11"/>
      <name val="Arial"/>
      <family val="2"/>
    </font>
    <font>
      <sz val="11"/>
      <name val="Arial"/>
      <family val="2"/>
    </font>
    <font>
      <i/>
      <sz val="11"/>
      <name val="Arial"/>
      <family val="2"/>
    </font>
    <font>
      <i/>
      <sz val="10"/>
      <name val="Arial"/>
      <family val="2"/>
    </font>
    <font>
      <b/>
      <sz val="12"/>
      <name val="Arial"/>
      <family val="2"/>
    </font>
    <font>
      <b/>
      <sz val="9"/>
      <name val="Arial"/>
      <family val="2"/>
    </font>
    <font>
      <b/>
      <sz val="8"/>
      <name val="Arial"/>
      <family val="2"/>
    </font>
    <font>
      <sz val="10"/>
      <name val="Arial"/>
      <family val="2"/>
    </font>
    <font>
      <sz val="9"/>
      <name val="Arial"/>
      <family val="2"/>
    </font>
    <font>
      <sz val="8"/>
      <name val="Arial"/>
      <family val="2"/>
    </font>
    <font>
      <sz val="10"/>
      <name val="Times New Roman"/>
      <family val="1"/>
    </font>
    <font>
      <b/>
      <sz val="11"/>
      <name val="Times New Roman"/>
      <family val="1"/>
    </font>
    <font>
      <sz val="11"/>
      <name val="Times New Roman"/>
      <family val="1"/>
    </font>
    <font>
      <b/>
      <u val="singleAccounting"/>
      <sz val="11"/>
      <name val="Times New Roman"/>
      <family val="1"/>
    </font>
    <font>
      <b/>
      <i/>
      <sz val="11"/>
      <name val="Times New Roman"/>
      <family val="1"/>
    </font>
    <font>
      <sz val="12"/>
      <name val="Arial"/>
      <family val="2"/>
    </font>
    <font>
      <i/>
      <sz val="12"/>
      <name val="Arial"/>
      <family val="2"/>
    </font>
    <font>
      <b/>
      <sz val="14"/>
      <name val="Times New Roman"/>
      <family val="1"/>
    </font>
    <font>
      <sz val="11"/>
      <color indexed="8"/>
      <name val="Calibri"/>
      <family val="2"/>
    </font>
    <font>
      <sz val="12"/>
      <name val="Arial"/>
      <family val="2"/>
    </font>
    <font>
      <i/>
      <sz val="11"/>
      <name val="Times New Roman"/>
      <family val="1"/>
    </font>
    <font>
      <b/>
      <i/>
      <sz val="11"/>
      <name val="Arial"/>
      <family val="2"/>
    </font>
    <font>
      <sz val="9"/>
      <name val="Segoe UI"/>
      <family val="2"/>
    </font>
    <font>
      <sz val="9"/>
      <color indexed="81"/>
      <name val="Tahoma"/>
      <family val="2"/>
    </font>
    <font>
      <b/>
      <sz val="9"/>
      <color indexed="81"/>
      <name val="Tahoma"/>
      <family val="2"/>
    </font>
    <font>
      <sz val="12"/>
      <name val="Arial"/>
      <family val="2"/>
    </font>
    <font>
      <b/>
      <u/>
      <sz val="12"/>
      <name val="Arial"/>
      <family val="2"/>
    </font>
    <font>
      <sz val="12"/>
      <name val="Arial"/>
      <family val="2"/>
    </font>
    <font>
      <u/>
      <sz val="11"/>
      <name val="Arial"/>
      <family val="2"/>
    </font>
    <font>
      <sz val="12"/>
      <name val="Arial"/>
      <family val="2"/>
    </font>
    <font>
      <sz val="11"/>
      <color indexed="81"/>
      <name val="Tahoma"/>
      <family val="2"/>
    </font>
    <font>
      <b/>
      <u/>
      <sz val="10"/>
      <name val="Arial"/>
      <family val="2"/>
    </font>
    <font>
      <b/>
      <sz val="11"/>
      <color indexed="81"/>
      <name val="Tahoma"/>
      <family val="2"/>
    </font>
    <font>
      <b/>
      <sz val="18"/>
      <name val="Arial"/>
      <family val="2"/>
    </font>
    <font>
      <sz val="12"/>
      <name val="Arial"/>
      <family val="2"/>
    </font>
    <font>
      <b/>
      <u/>
      <sz val="14"/>
      <name val="Arial"/>
      <family val="2"/>
    </font>
    <font>
      <sz val="11"/>
      <color theme="1"/>
      <name val="Calibri"/>
      <family val="2"/>
      <scheme val="minor"/>
    </font>
    <font>
      <b/>
      <sz val="11"/>
      <color theme="1"/>
      <name val="Calibri"/>
      <family val="2"/>
      <scheme val="minor"/>
    </font>
    <font>
      <b/>
      <sz val="14"/>
      <color rgb="FFFF0000"/>
      <name val="Arial"/>
      <family val="2"/>
    </font>
    <font>
      <b/>
      <sz val="12"/>
      <color rgb="FFFF0000"/>
      <name val="Arial"/>
      <family val="2"/>
    </font>
    <font>
      <sz val="12"/>
      <color theme="1"/>
      <name val="Arial"/>
      <family val="2"/>
    </font>
    <font>
      <sz val="10"/>
      <color theme="1"/>
      <name val="Calibri"/>
      <family val="2"/>
      <scheme val="minor"/>
    </font>
    <font>
      <b/>
      <sz val="10"/>
      <color theme="1"/>
      <name val="Calibri"/>
      <family val="2"/>
      <scheme val="minor"/>
    </font>
    <font>
      <sz val="10"/>
      <color theme="1"/>
      <name val="Arial"/>
      <family val="2"/>
    </font>
    <font>
      <b/>
      <sz val="10"/>
      <color rgb="FFFF0000"/>
      <name val="Arial"/>
      <family val="2"/>
    </font>
    <font>
      <b/>
      <sz val="24"/>
      <color rgb="FFFF0000"/>
      <name val="Arial"/>
      <family val="2"/>
    </font>
    <font>
      <b/>
      <sz val="12"/>
      <color theme="1"/>
      <name val="Arial"/>
      <family val="2"/>
    </font>
    <font>
      <b/>
      <i/>
      <u/>
      <sz val="11"/>
      <color rgb="FFFF0000"/>
      <name val="Calibri"/>
      <family val="2"/>
      <scheme val="minor"/>
    </font>
    <font>
      <b/>
      <sz val="14"/>
      <color theme="1"/>
      <name val="Calibri"/>
      <family val="2"/>
      <scheme val="minor"/>
    </font>
    <font>
      <b/>
      <sz val="8"/>
      <color theme="1"/>
      <name val="Calibri"/>
      <family val="2"/>
      <scheme val="minor"/>
    </font>
    <font>
      <b/>
      <i/>
      <sz val="8"/>
      <color theme="1"/>
      <name val="Calibri"/>
      <family val="2"/>
      <scheme val="minor"/>
    </font>
    <font>
      <sz val="14"/>
      <color theme="1"/>
      <name val="Calibri"/>
      <family val="2"/>
      <scheme val="minor"/>
    </font>
    <font>
      <sz val="12"/>
      <color rgb="FFFF0000"/>
      <name val="Arial"/>
      <family val="2"/>
    </font>
    <font>
      <b/>
      <sz val="12"/>
      <color rgb="FFFF0000"/>
      <name val="Wingdings"/>
      <charset val="2"/>
    </font>
    <font>
      <b/>
      <sz val="12"/>
      <color rgb="FFFF0000"/>
      <name val="Webdings"/>
      <family val="1"/>
      <charset val="2"/>
    </font>
    <font>
      <b/>
      <i/>
      <sz val="11"/>
      <color rgb="FFFF0000"/>
      <name val="Calibri"/>
      <family val="2"/>
      <scheme val="minor"/>
    </font>
    <font>
      <b/>
      <u/>
      <sz val="11"/>
      <color rgb="FFFF0000"/>
      <name val="Calibri"/>
      <family val="2"/>
      <scheme val="minor"/>
    </font>
    <font>
      <b/>
      <sz val="16"/>
      <color theme="1"/>
      <name val="Calibri"/>
      <family val="2"/>
      <scheme val="minor"/>
    </font>
    <font>
      <b/>
      <sz val="11"/>
      <color rgb="FFFF0000"/>
      <name val="Calibri"/>
      <family val="2"/>
      <scheme val="minor"/>
    </font>
    <font>
      <b/>
      <sz val="11"/>
      <color rgb="FFFF0000"/>
      <name val="Arial"/>
      <family val="2"/>
    </font>
    <font>
      <b/>
      <sz val="12"/>
      <color rgb="FFC00000"/>
      <name val="Arial"/>
      <family val="2"/>
    </font>
    <font>
      <sz val="12"/>
      <color rgb="FFC00000"/>
      <name val="Arial"/>
      <family val="2"/>
    </font>
    <font>
      <sz val="12"/>
      <color rgb="FFFFFF00"/>
      <name val="Arial"/>
      <family val="2"/>
    </font>
    <font>
      <sz val="11"/>
      <color rgb="FFFF0000"/>
      <name val="Arial"/>
      <family val="2"/>
    </font>
    <font>
      <sz val="10"/>
      <color rgb="FFFF0000"/>
      <name val="Arial"/>
      <family val="2"/>
    </font>
    <font>
      <b/>
      <u/>
      <sz val="12"/>
      <color rgb="FFFF0000"/>
      <name val="Arial"/>
      <family val="2"/>
    </font>
    <font>
      <sz val="12"/>
      <color indexed="81"/>
      <name val="Tahoma"/>
      <family val="2"/>
    </font>
    <font>
      <sz val="14"/>
      <color indexed="81"/>
      <name val="Tahoma"/>
      <family val="2"/>
    </font>
    <font>
      <sz val="10"/>
      <name val="Calibri"/>
      <family val="2"/>
      <scheme val="minor"/>
    </font>
    <font>
      <b/>
      <u/>
      <sz val="11"/>
      <name val="Arial"/>
      <family val="2"/>
    </font>
    <font>
      <sz val="10"/>
      <name val="Calibri"/>
      <family val="2"/>
    </font>
    <font>
      <sz val="11"/>
      <color rgb="FF000000"/>
      <name val="Calibri"/>
      <family val="2"/>
      <scheme val="minor"/>
    </font>
    <font>
      <b/>
      <sz val="10"/>
      <name val="Georgia"/>
      <family val="1"/>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theme="5" tint="0.39997558519241921"/>
        <bgColor indexed="64"/>
      </patternFill>
    </fill>
  </fills>
  <borders count="37">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double">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75">
    <xf numFmtId="0" fontId="0" fillId="0" borderId="0"/>
    <xf numFmtId="43" fontId="1"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4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40" fillId="0" borderId="0"/>
    <xf numFmtId="0" fontId="19" fillId="0" borderId="0"/>
    <xf numFmtId="0" fontId="2" fillId="0" borderId="0"/>
    <xf numFmtId="0" fontId="40" fillId="0" borderId="0"/>
    <xf numFmtId="0" fontId="40" fillId="0" borderId="0"/>
    <xf numFmtId="0" fontId="2" fillId="0" borderId="0"/>
    <xf numFmtId="0" fontId="40" fillId="0" borderId="0"/>
    <xf numFmtId="0" fontId="2" fillId="0" borderId="0"/>
    <xf numFmtId="0" fontId="2" fillId="0" borderId="0"/>
    <xf numFmtId="0" fontId="2" fillId="0" borderId="0"/>
    <xf numFmtId="0" fontId="19" fillId="0" borderId="0"/>
    <xf numFmtId="0" fontId="23" fillId="0" borderId="0"/>
    <xf numFmtId="0" fontId="19" fillId="0" borderId="0"/>
    <xf numFmtId="0" fontId="19" fillId="0" borderId="0"/>
    <xf numFmtId="0" fontId="19" fillId="0" borderId="0"/>
    <xf numFmtId="0" fontId="26" fillId="0" borderId="0">
      <alignment vertical="center"/>
    </xf>
    <xf numFmtId="0" fontId="40" fillId="0" borderId="0"/>
    <xf numFmtId="0" fontId="1" fillId="0" borderId="0"/>
    <xf numFmtId="0" fontId="2" fillId="0" borderId="0"/>
    <xf numFmtId="0" fontId="26" fillId="0" borderId="0">
      <alignment vertical="center"/>
    </xf>
    <xf numFmtId="0" fontId="1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0" fontId="75" fillId="0" borderId="0"/>
    <xf numFmtId="9" fontId="75" fillId="0" borderId="0" applyFont="0" applyFill="0" applyBorder="0" applyAlignment="0" applyProtection="0"/>
    <xf numFmtId="44" fontId="75" fillId="0" borderId="0" applyFont="0" applyFill="0" applyBorder="0" applyAlignment="0" applyProtection="0"/>
    <xf numFmtId="43" fontId="75" fillId="0" borderId="0" applyFont="0" applyFill="0" applyBorder="0" applyAlignment="0" applyProtection="0"/>
  </cellStyleXfs>
  <cellXfs count="667">
    <xf numFmtId="0" fontId="0" fillId="0" borderId="0" xfId="0"/>
    <xf numFmtId="166" fontId="2" fillId="0" borderId="0" xfId="19" applyNumberFormat="1" applyFont="1" applyFill="1" applyBorder="1" applyAlignment="1" applyProtection="1">
      <alignment horizontal="right"/>
    </xf>
    <xf numFmtId="164" fontId="2" fillId="0" borderId="0" xfId="1" applyNumberFormat="1" applyFont="1" applyFill="1" applyBorder="1" applyProtection="1"/>
    <xf numFmtId="164" fontId="2" fillId="0" borderId="0" xfId="1" applyNumberFormat="1" applyFont="1" applyFill="1" applyProtection="1"/>
    <xf numFmtId="166" fontId="2" fillId="0" borderId="0" xfId="19" applyNumberFormat="1" applyFont="1" applyFill="1" applyBorder="1" applyProtection="1"/>
    <xf numFmtId="0" fontId="2" fillId="0" borderId="0" xfId="0" applyFont="1"/>
    <xf numFmtId="164" fontId="2" fillId="0" borderId="1" xfId="1" applyNumberFormat="1" applyFont="1" applyFill="1" applyBorder="1" applyProtection="1"/>
    <xf numFmtId="0" fontId="2" fillId="0" borderId="0" xfId="0" applyFont="1" applyAlignment="1">
      <alignment horizontal="center"/>
    </xf>
    <xf numFmtId="166" fontId="2" fillId="2" borderId="0" xfId="19" applyNumberFormat="1" applyFont="1" applyFill="1" applyBorder="1" applyProtection="1">
      <protection locked="0"/>
    </xf>
    <xf numFmtId="37" fontId="3" fillId="0" borderId="0" xfId="54" applyNumberFormat="1" applyFont="1" applyAlignment="1">
      <alignment horizontal="centerContinuous"/>
    </xf>
    <xf numFmtId="37" fontId="2" fillId="0" borderId="0" xfId="54" applyNumberFormat="1" applyFont="1"/>
    <xf numFmtId="37" fontId="3" fillId="0" borderId="0" xfId="54" applyNumberFormat="1" applyFont="1" applyAlignment="1">
      <alignment horizontal="left"/>
    </xf>
    <xf numFmtId="41" fontId="2" fillId="0" borderId="0" xfId="54" applyNumberFormat="1" applyFont="1" applyAlignment="1">
      <alignment horizontal="center"/>
    </xf>
    <xf numFmtId="41" fontId="2" fillId="0" borderId="0" xfId="54" applyNumberFormat="1" applyFont="1" applyAlignment="1">
      <alignment horizontal="centerContinuous"/>
    </xf>
    <xf numFmtId="0" fontId="3" fillId="0" borderId="4" xfId="54" applyFont="1" applyBorder="1" applyAlignment="1">
      <alignment horizontal="center"/>
    </xf>
    <xf numFmtId="41" fontId="2" fillId="0" borderId="0" xfId="54" applyNumberFormat="1" applyFont="1" applyAlignment="1">
      <alignment horizontal="left"/>
    </xf>
    <xf numFmtId="41" fontId="2" fillId="0" borderId="0" xfId="54" applyNumberFormat="1" applyFont="1"/>
    <xf numFmtId="167" fontId="2" fillId="0" borderId="0" xfId="59" applyNumberFormat="1" applyFont="1" applyFill="1" applyProtection="1"/>
    <xf numFmtId="164" fontId="2" fillId="0" borderId="2" xfId="1" applyNumberFormat="1" applyFont="1" applyFill="1" applyBorder="1" applyProtection="1"/>
    <xf numFmtId="169" fontId="2" fillId="0" borderId="0" xfId="59" quotePrefix="1" applyNumberFormat="1" applyFont="1" applyFill="1" applyProtection="1"/>
    <xf numFmtId="166" fontId="2" fillId="2" borderId="0" xfId="19" applyNumberFormat="1" applyFont="1" applyFill="1" applyBorder="1" applyProtection="1"/>
    <xf numFmtId="0" fontId="42" fillId="0" borderId="0" xfId="0" applyFont="1"/>
    <xf numFmtId="0" fontId="8" fillId="0" borderId="0" xfId="0" applyFont="1"/>
    <xf numFmtId="0" fontId="1" fillId="0" borderId="0" xfId="0" applyFont="1"/>
    <xf numFmtId="164" fontId="0" fillId="0" borderId="0" xfId="1" applyNumberFormat="1" applyFont="1" applyProtection="1"/>
    <xf numFmtId="0" fontId="43" fillId="0" borderId="0" xfId="0" applyFont="1"/>
    <xf numFmtId="164" fontId="0" fillId="0" borderId="0" xfId="0" applyNumberFormat="1"/>
    <xf numFmtId="43" fontId="0" fillId="0" borderId="0" xfId="0" applyNumberFormat="1"/>
    <xf numFmtId="43" fontId="0" fillId="0" borderId="0" xfId="1" applyFont="1" applyProtection="1"/>
    <xf numFmtId="0" fontId="8" fillId="0" borderId="0" xfId="0" applyFont="1" applyAlignment="1">
      <alignment horizontal="center"/>
    </xf>
    <xf numFmtId="164" fontId="0" fillId="0" borderId="0" xfId="1" applyNumberFormat="1" applyFont="1" applyFill="1" applyProtection="1"/>
    <xf numFmtId="0" fontId="1" fillId="0" borderId="0" xfId="0" applyFont="1" applyAlignment="1">
      <alignment vertical="top"/>
    </xf>
    <xf numFmtId="0" fontId="0" fillId="0" borderId="0" xfId="0" applyAlignment="1">
      <alignment vertical="top"/>
    </xf>
    <xf numFmtId="10" fontId="2" fillId="0" borderId="0" xfId="59" applyNumberFormat="1" applyFont="1" applyFill="1" applyProtection="1"/>
    <xf numFmtId="0" fontId="1" fillId="0" borderId="0" xfId="54"/>
    <xf numFmtId="43" fontId="2" fillId="0" borderId="0" xfId="54" applyNumberFormat="1" applyFont="1"/>
    <xf numFmtId="10" fontId="2" fillId="0" borderId="0" xfId="59" applyNumberFormat="1" applyFont="1" applyProtection="1"/>
    <xf numFmtId="43" fontId="2" fillId="0" borderId="2" xfId="54" applyNumberFormat="1" applyFont="1" applyBorder="1"/>
    <xf numFmtId="10" fontId="2" fillId="0" borderId="2" xfId="59" applyNumberFormat="1" applyFont="1" applyBorder="1" applyProtection="1"/>
    <xf numFmtId="0" fontId="24" fillId="0" borderId="0" xfId="58" applyFont="1"/>
    <xf numFmtId="164" fontId="0" fillId="0" borderId="0" xfId="13" applyNumberFormat="1" applyFont="1" applyFill="1" applyProtection="1"/>
    <xf numFmtId="164" fontId="0" fillId="0" borderId="19" xfId="13" applyNumberFormat="1" applyFont="1" applyFill="1" applyBorder="1" applyProtection="1"/>
    <xf numFmtId="9" fontId="0" fillId="0" borderId="0" xfId="59" applyFont="1" applyFill="1" applyBorder="1" applyProtection="1"/>
    <xf numFmtId="0" fontId="1" fillId="0" borderId="0" xfId="0" applyFont="1" applyAlignment="1">
      <alignment horizontal="left" indent="3"/>
    </xf>
    <xf numFmtId="0" fontId="0" fillId="0" borderId="0" xfId="0" applyAlignment="1">
      <alignment vertical="center"/>
    </xf>
    <xf numFmtId="0" fontId="0" fillId="0" borderId="4" xfId="0" applyBorder="1"/>
    <xf numFmtId="0" fontId="43" fillId="0" borderId="0" xfId="1" applyNumberFormat="1" applyFont="1" applyFill="1" applyBorder="1" applyAlignment="1" applyProtection="1">
      <alignment horizontal="left" vertical="center"/>
    </xf>
    <xf numFmtId="164" fontId="29" fillId="0" borderId="0" xfId="1" applyNumberFormat="1" applyFont="1" applyFill="1" applyBorder="1" applyProtection="1"/>
    <xf numFmtId="164" fontId="45" fillId="2" borderId="0" xfId="1" applyNumberFormat="1" applyFont="1" applyFill="1" applyBorder="1" applyAlignment="1" applyProtection="1">
      <alignment horizontal="center" wrapText="1"/>
      <protection locked="0"/>
    </xf>
    <xf numFmtId="10" fontId="0" fillId="0" borderId="20" xfId="59" applyNumberFormat="1" applyFont="1" applyFill="1" applyBorder="1" applyProtection="1"/>
    <xf numFmtId="10" fontId="0" fillId="0" borderId="21" xfId="59" applyNumberFormat="1" applyFont="1" applyFill="1" applyBorder="1" applyProtection="1"/>
    <xf numFmtId="10" fontId="0" fillId="0" borderId="22" xfId="59" applyNumberFormat="1" applyFont="1" applyFill="1" applyBorder="1" applyProtection="1"/>
    <xf numFmtId="0" fontId="47" fillId="0" borderId="0" xfId="54" applyFont="1" applyAlignment="1">
      <alignment horizontal="left" indent="2"/>
    </xf>
    <xf numFmtId="164" fontId="1" fillId="0" borderId="0" xfId="0" applyNumberFormat="1" applyFont="1"/>
    <xf numFmtId="0" fontId="2" fillId="0" borderId="0" xfId="54" applyFont="1"/>
    <xf numFmtId="0" fontId="2" fillId="0" borderId="0" xfId="54" quotePrefix="1" applyFont="1"/>
    <xf numFmtId="43" fontId="2" fillId="0" borderId="0" xfId="1" applyFont="1" applyFill="1" applyProtection="1"/>
    <xf numFmtId="0" fontId="49" fillId="0" borderId="0" xfId="54" applyFont="1" applyAlignment="1">
      <alignment horizontal="center"/>
    </xf>
    <xf numFmtId="0" fontId="3" fillId="0" borderId="0" xfId="54" applyFont="1"/>
    <xf numFmtId="0" fontId="35" fillId="0" borderId="0" xfId="54" applyFont="1"/>
    <xf numFmtId="0" fontId="3" fillId="0" borderId="1" xfId="54" applyFont="1" applyBorder="1" applyAlignment="1">
      <alignment horizontal="center"/>
    </xf>
    <xf numFmtId="0" fontId="3" fillId="0" borderId="0" xfId="54" applyFont="1" applyAlignment="1">
      <alignment horizontal="center"/>
    </xf>
    <xf numFmtId="0" fontId="35" fillId="0" borderId="0" xfId="54" applyFont="1" applyAlignment="1">
      <alignment horizontal="center"/>
    </xf>
    <xf numFmtId="43" fontId="1" fillId="0" borderId="0" xfId="0" applyNumberFormat="1" applyFont="1"/>
    <xf numFmtId="164" fontId="0" fillId="0" borderId="20" xfId="13" applyNumberFormat="1" applyFont="1" applyFill="1" applyBorder="1" applyProtection="1"/>
    <xf numFmtId="164" fontId="2" fillId="0" borderId="0" xfId="54" applyNumberFormat="1" applyFont="1"/>
    <xf numFmtId="164" fontId="38" fillId="3" borderId="0" xfId="1" applyNumberFormat="1" applyFont="1" applyFill="1" applyBorder="1" applyProtection="1"/>
    <xf numFmtId="164" fontId="1" fillId="3" borderId="0" xfId="1" applyNumberFormat="1" applyFont="1" applyFill="1" applyBorder="1" applyProtection="1"/>
    <xf numFmtId="43" fontId="38" fillId="3" borderId="0" xfId="1" applyFont="1" applyFill="1" applyBorder="1" applyProtection="1"/>
    <xf numFmtId="168" fontId="38" fillId="3" borderId="0" xfId="59" applyNumberFormat="1" applyFont="1" applyFill="1" applyBorder="1" applyProtection="1"/>
    <xf numFmtId="168" fontId="38" fillId="3" borderId="0" xfId="59" applyNumberFormat="1" applyFont="1" applyFill="1" applyProtection="1"/>
    <xf numFmtId="164" fontId="13" fillId="0" borderId="2" xfId="1" applyNumberFormat="1" applyFont="1" applyFill="1" applyBorder="1"/>
    <xf numFmtId="164" fontId="5" fillId="0" borderId="0" xfId="1" applyNumberFormat="1" applyFont="1" applyProtection="1"/>
    <xf numFmtId="164" fontId="5" fillId="0" borderId="2" xfId="1" applyNumberFormat="1" applyFont="1" applyBorder="1" applyProtection="1"/>
    <xf numFmtId="0" fontId="1" fillId="0" borderId="23" xfId="0" applyFont="1" applyBorder="1"/>
    <xf numFmtId="0" fontId="0" fillId="0" borderId="24" xfId="0" applyBorder="1"/>
    <xf numFmtId="0" fontId="0" fillId="0" borderId="25" xfId="0" applyBorder="1"/>
    <xf numFmtId="0" fontId="0" fillId="0" borderId="16" xfId="0" applyBorder="1"/>
    <xf numFmtId="164" fontId="5" fillId="0" borderId="0" xfId="1" applyNumberFormat="1" applyFont="1" applyBorder="1" applyProtection="1"/>
    <xf numFmtId="0" fontId="0" fillId="0" borderId="15" xfId="0" applyBorder="1"/>
    <xf numFmtId="0" fontId="0" fillId="0" borderId="0" xfId="0" applyAlignment="1">
      <alignment horizontal="center"/>
    </xf>
    <xf numFmtId="0" fontId="51" fillId="0" borderId="0" xfId="0" applyFont="1"/>
    <xf numFmtId="0" fontId="51" fillId="0" borderId="0" xfId="0" applyFont="1" applyAlignment="1">
      <alignment horizontal="center"/>
    </xf>
    <xf numFmtId="0" fontId="52" fillId="0" borderId="15" xfId="0" applyFont="1" applyBorder="1" applyAlignment="1">
      <alignment horizontal="center"/>
    </xf>
    <xf numFmtId="0" fontId="52" fillId="0" borderId="16" xfId="0" applyFont="1" applyBorder="1"/>
    <xf numFmtId="0" fontId="46" fillId="0" borderId="0" xfId="0" applyFont="1" applyAlignment="1">
      <alignment horizontal="center" wrapText="1"/>
    </xf>
    <xf numFmtId="0" fontId="46" fillId="0" borderId="0" xfId="0" applyFont="1" applyAlignment="1">
      <alignment horizontal="center"/>
    </xf>
    <xf numFmtId="0" fontId="52" fillId="0" borderId="0" xfId="0" applyFont="1" applyAlignment="1">
      <alignment horizontal="center"/>
    </xf>
    <xf numFmtId="0" fontId="52" fillId="0" borderId="0" xfId="0" applyFont="1"/>
    <xf numFmtId="166" fontId="0" fillId="0" borderId="15" xfId="0" applyNumberFormat="1" applyBorder="1"/>
    <xf numFmtId="166" fontId="0" fillId="0" borderId="0" xfId="0" applyNumberFormat="1"/>
    <xf numFmtId="166" fontId="0" fillId="0" borderId="0" xfId="0" applyNumberFormat="1" applyAlignment="1">
      <alignment horizontal="center"/>
    </xf>
    <xf numFmtId="166" fontId="0" fillId="0" borderId="16" xfId="0" applyNumberFormat="1" applyBorder="1"/>
    <xf numFmtId="170" fontId="0" fillId="0" borderId="0" xfId="59" applyNumberFormat="1" applyFont="1" applyProtection="1"/>
    <xf numFmtId="166" fontId="45" fillId="2" borderId="15" xfId="0" applyNumberFormat="1" applyFont="1" applyFill="1" applyBorder="1" applyProtection="1">
      <protection locked="0"/>
    </xf>
    <xf numFmtId="164" fontId="5" fillId="2" borderId="4" xfId="0" applyNumberFormat="1" applyFont="1" applyFill="1" applyBorder="1" applyProtection="1">
      <protection locked="0"/>
    </xf>
    <xf numFmtId="0" fontId="0" fillId="0" borderId="23" xfId="0" applyBorder="1"/>
    <xf numFmtId="0" fontId="8" fillId="0" borderId="15" xfId="0" applyFont="1" applyBorder="1" applyAlignment="1">
      <alignment horizontal="center"/>
    </xf>
    <xf numFmtId="0" fontId="8" fillId="0" borderId="16"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1" fillId="0" borderId="15" xfId="0" applyFont="1" applyBorder="1" applyAlignment="1">
      <alignment horizontal="center"/>
    </xf>
    <xf numFmtId="164" fontId="5" fillId="0" borderId="0" xfId="0" applyNumberFormat="1" applyFont="1"/>
    <xf numFmtId="164" fontId="5" fillId="0" borderId="15" xfId="0" applyNumberFormat="1" applyFont="1" applyBorder="1"/>
    <xf numFmtId="164" fontId="5" fillId="0" borderId="16" xfId="0" applyNumberFormat="1" applyFont="1" applyBorder="1"/>
    <xf numFmtId="0" fontId="1" fillId="0" borderId="17" xfId="0" applyFont="1" applyBorder="1" applyAlignment="1">
      <alignment horizontal="center"/>
    </xf>
    <xf numFmtId="164" fontId="5" fillId="0" borderId="4" xfId="0" applyNumberFormat="1" applyFont="1" applyBorder="1"/>
    <xf numFmtId="164" fontId="5" fillId="0" borderId="17" xfId="0" applyNumberFormat="1" applyFont="1" applyBorder="1"/>
    <xf numFmtId="164" fontId="5" fillId="0" borderId="18" xfId="0" applyNumberFormat="1" applyFont="1" applyBorder="1"/>
    <xf numFmtId="164" fontId="5" fillId="0" borderId="28" xfId="0" applyNumberFormat="1" applyFont="1" applyBorder="1"/>
    <xf numFmtId="0" fontId="8" fillId="0" borderId="23" xfId="0" applyFont="1" applyBorder="1"/>
    <xf numFmtId="0" fontId="5" fillId="0" borderId="15" xfId="0" applyFont="1" applyBorder="1"/>
    <xf numFmtId="0" fontId="5" fillId="0" borderId="0" xfId="0" applyFont="1"/>
    <xf numFmtId="0" fontId="35" fillId="0" borderId="0" xfId="0" applyFont="1" applyAlignment="1">
      <alignment horizontal="center"/>
    </xf>
    <xf numFmtId="0" fontId="35" fillId="0" borderId="16" xfId="0" applyFont="1" applyBorder="1" applyAlignment="1">
      <alignment horizontal="center"/>
    </xf>
    <xf numFmtId="0" fontId="5" fillId="0" borderId="15" xfId="0" applyFont="1" applyBorder="1" applyAlignment="1">
      <alignment horizontal="left" indent="1"/>
    </xf>
    <xf numFmtId="43" fontId="5" fillId="0" borderId="16" xfId="0" applyNumberFormat="1" applyFont="1" applyBorder="1"/>
    <xf numFmtId="0" fontId="5" fillId="0" borderId="15" xfId="0" applyFont="1" applyBorder="1" applyAlignment="1">
      <alignment wrapText="1"/>
    </xf>
    <xf numFmtId="164" fontId="5" fillId="0" borderId="2" xfId="0" applyNumberFormat="1" applyFont="1" applyBorder="1"/>
    <xf numFmtId="0" fontId="5" fillId="0" borderId="16" xfId="0" applyFont="1" applyBorder="1"/>
    <xf numFmtId="0" fontId="5" fillId="0" borderId="17" xfId="0" applyFont="1" applyBorder="1"/>
    <xf numFmtId="0" fontId="56" fillId="0" borderId="18" xfId="0" applyFont="1" applyBorder="1"/>
    <xf numFmtId="43" fontId="5" fillId="0" borderId="0" xfId="1" applyFont="1" applyBorder="1" applyProtection="1"/>
    <xf numFmtId="0" fontId="56" fillId="0" borderId="0" xfId="0" quotePrefix="1" applyFont="1" applyAlignment="1">
      <alignment horizontal="left" indent="1"/>
    </xf>
    <xf numFmtId="0" fontId="5" fillId="0" borderId="0" xfId="0" applyFont="1" applyAlignment="1">
      <alignment horizontal="center"/>
    </xf>
    <xf numFmtId="0" fontId="5" fillId="0" borderId="1" xfId="0" applyFont="1" applyBorder="1" applyAlignment="1">
      <alignment horizontal="center"/>
    </xf>
    <xf numFmtId="0" fontId="56" fillId="0" borderId="16" xfId="0" applyFont="1" applyBorder="1"/>
    <xf numFmtId="0" fontId="5" fillId="0" borderId="15" xfId="0" applyFont="1" applyBorder="1" applyAlignment="1">
      <alignment vertical="top" wrapText="1"/>
    </xf>
    <xf numFmtId="0" fontId="56" fillId="0" borderId="0" xfId="0" applyFont="1"/>
    <xf numFmtId="0" fontId="56" fillId="0" borderId="0" xfId="0" applyFont="1" applyAlignment="1">
      <alignment horizontal="left" indent="2"/>
    </xf>
    <xf numFmtId="164" fontId="0" fillId="0" borderId="0" xfId="1" applyNumberFormat="1" applyFont="1" applyFill="1" applyAlignment="1" applyProtection="1">
      <alignment vertical="center"/>
    </xf>
    <xf numFmtId="169" fontId="29" fillId="0" borderId="0" xfId="59" applyNumberFormat="1" applyFont="1" applyFill="1" applyBorder="1" applyProtection="1"/>
    <xf numFmtId="164" fontId="1" fillId="0" borderId="0" xfId="1" applyNumberFormat="1" applyFont="1" applyBorder="1" applyProtection="1"/>
    <xf numFmtId="164" fontId="1" fillId="0" borderId="0" xfId="0" applyNumberFormat="1" applyFont="1" applyAlignment="1">
      <alignment horizontal="right"/>
    </xf>
    <xf numFmtId="0" fontId="58" fillId="0" borderId="0" xfId="0" applyFont="1"/>
    <xf numFmtId="41" fontId="2" fillId="0" borderId="0" xfId="1" applyNumberFormat="1" applyFont="1" applyFill="1" applyBorder="1" applyProtection="1"/>
    <xf numFmtId="164" fontId="64" fillId="0" borderId="19" xfId="13" applyNumberFormat="1" applyFont="1" applyFill="1" applyBorder="1" applyProtection="1"/>
    <xf numFmtId="0" fontId="65" fillId="0" borderId="16" xfId="0" applyFont="1" applyBorder="1"/>
    <xf numFmtId="0" fontId="65" fillId="0" borderId="18" xfId="0" applyFont="1" applyBorder="1"/>
    <xf numFmtId="0" fontId="37" fillId="0" borderId="0" xfId="0" applyFont="1" applyAlignment="1">
      <alignment wrapText="1"/>
    </xf>
    <xf numFmtId="0" fontId="37" fillId="0" borderId="19" xfId="0" applyFont="1" applyBorder="1" applyAlignment="1" applyProtection="1">
      <alignment horizontal="center" vertical="center"/>
      <protection locked="0"/>
    </xf>
    <xf numFmtId="0" fontId="8" fillId="0" borderId="1" xfId="0" applyFont="1" applyBorder="1" applyAlignment="1">
      <alignment horizontal="center"/>
    </xf>
    <xf numFmtId="0" fontId="0" fillId="0" borderId="0" xfId="0" quotePrefix="1" applyAlignment="1">
      <alignment vertical="top" wrapText="1"/>
    </xf>
    <xf numFmtId="164" fontId="67" fillId="0" borderId="4" xfId="0" applyNumberFormat="1" applyFont="1" applyBorder="1"/>
    <xf numFmtId="0" fontId="66" fillId="0" borderId="0" xfId="0" applyFont="1" applyAlignment="1">
      <alignment horizontal="center" wrapText="1"/>
    </xf>
    <xf numFmtId="0" fontId="42" fillId="0" borderId="0" xfId="54" applyFont="1"/>
    <xf numFmtId="0" fontId="13" fillId="0" borderId="0" xfId="54" applyFont="1"/>
    <xf numFmtId="41" fontId="13" fillId="0" borderId="0" xfId="54" applyNumberFormat="1" applyFont="1" applyAlignment="1">
      <alignment horizontal="center"/>
    </xf>
    <xf numFmtId="41" fontId="13" fillId="0" borderId="0" xfId="54" applyNumberFormat="1" applyFont="1"/>
    <xf numFmtId="0" fontId="10" fillId="0" borderId="0" xfId="54" applyFont="1"/>
    <xf numFmtId="0" fontId="13" fillId="0" borderId="0" xfId="54" applyFont="1" applyAlignment="1">
      <alignment horizontal="left" indent="1"/>
    </xf>
    <xf numFmtId="0" fontId="10" fillId="0" borderId="0" xfId="54" applyFont="1" applyAlignment="1">
      <alignment horizontal="left"/>
    </xf>
    <xf numFmtId="41" fontId="10" fillId="0" borderId="4" xfId="54" applyNumberFormat="1" applyFont="1" applyBorder="1" applyAlignment="1">
      <alignment horizontal="center"/>
    </xf>
    <xf numFmtId="0" fontId="13" fillId="0" borderId="0" xfId="54" applyFont="1" applyAlignment="1">
      <alignment horizontal="left" indent="2"/>
    </xf>
    <xf numFmtId="0" fontId="13" fillId="0" borderId="0" xfId="54" applyFont="1" applyAlignment="1">
      <alignment horizontal="right"/>
    </xf>
    <xf numFmtId="0" fontId="1" fillId="0" borderId="23" xfId="54" applyBorder="1"/>
    <xf numFmtId="0" fontId="1" fillId="0" borderId="24" xfId="54" applyBorder="1"/>
    <xf numFmtId="0" fontId="1" fillId="0" borderId="25" xfId="54" applyBorder="1"/>
    <xf numFmtId="0" fontId="1" fillId="0" borderId="15" xfId="54" applyBorder="1"/>
    <xf numFmtId="0" fontId="1" fillId="0" borderId="16" xfId="54" applyBorder="1"/>
    <xf numFmtId="0" fontId="10" fillId="0" borderId="0" xfId="54" applyFont="1" applyAlignment="1">
      <alignment horizontal="right"/>
    </xf>
    <xf numFmtId="0" fontId="1" fillId="0" borderId="17" xfId="54" applyBorder="1"/>
    <xf numFmtId="0" fontId="1" fillId="0" borderId="4" xfId="54" applyBorder="1"/>
    <xf numFmtId="0" fontId="1" fillId="0" borderId="18" xfId="54" applyBorder="1"/>
    <xf numFmtId="0" fontId="1" fillId="0" borderId="0" xfId="54" applyAlignment="1">
      <alignment horizontal="center"/>
    </xf>
    <xf numFmtId="0" fontId="1" fillId="0" borderId="1" xfId="54" applyBorder="1" applyAlignment="1">
      <alignment horizontal="center"/>
    </xf>
    <xf numFmtId="37" fontId="3" fillId="0" borderId="0" xfId="54" applyNumberFormat="1" applyFont="1" applyAlignment="1">
      <alignment horizontal="center"/>
    </xf>
    <xf numFmtId="37" fontId="2" fillId="0" borderId="0" xfId="54" applyNumberFormat="1" applyFont="1" applyAlignment="1">
      <alignment horizontal="centerContinuous"/>
    </xf>
    <xf numFmtId="164" fontId="43" fillId="0" borderId="0" xfId="0" applyNumberFormat="1" applyFont="1"/>
    <xf numFmtId="164" fontId="0" fillId="0" borderId="0" xfId="1" applyNumberFormat="1" applyFont="1"/>
    <xf numFmtId="43" fontId="13" fillId="0" borderId="0" xfId="1" applyFont="1" applyFill="1" applyProtection="1"/>
    <xf numFmtId="42" fontId="13" fillId="0" borderId="0" xfId="54" applyNumberFormat="1" applyFont="1" applyAlignment="1">
      <alignment horizontal="left" indent="1"/>
    </xf>
    <xf numFmtId="164" fontId="13" fillId="0" borderId="0" xfId="1" applyNumberFormat="1" applyFont="1" applyFill="1" applyProtection="1">
      <protection locked="0"/>
    </xf>
    <xf numFmtId="37" fontId="68" fillId="0" borderId="0" xfId="54" applyNumberFormat="1" applyFont="1"/>
    <xf numFmtId="37" fontId="3" fillId="0" borderId="0" xfId="54" applyNumberFormat="1" applyFont="1"/>
    <xf numFmtId="0" fontId="8" fillId="0" borderId="0" xfId="0" applyFont="1" applyAlignment="1">
      <alignment horizontal="center" wrapText="1"/>
    </xf>
    <xf numFmtId="0" fontId="8" fillId="5" borderId="20" xfId="0" applyFont="1" applyFill="1" applyBorder="1" applyAlignment="1">
      <alignment horizontal="center"/>
    </xf>
    <xf numFmtId="0" fontId="2" fillId="5" borderId="22" xfId="0" applyFont="1" applyFill="1" applyBorder="1" applyAlignment="1">
      <alignment horizontal="center"/>
    </xf>
    <xf numFmtId="0" fontId="0" fillId="5" borderId="24" xfId="0" applyFill="1" applyBorder="1"/>
    <xf numFmtId="0" fontId="0" fillId="5" borderId="25" xfId="0" applyFill="1" applyBorder="1"/>
    <xf numFmtId="169" fontId="5" fillId="5" borderId="0" xfId="59" applyNumberFormat="1" applyFont="1" applyFill="1" applyBorder="1" applyProtection="1"/>
    <xf numFmtId="169" fontId="5" fillId="5" borderId="16" xfId="59" applyNumberFormat="1" applyFont="1" applyFill="1" applyBorder="1" applyProtection="1"/>
    <xf numFmtId="164" fontId="5" fillId="5" borderId="0" xfId="0" applyNumberFormat="1" applyFont="1" applyFill="1"/>
    <xf numFmtId="164" fontId="5" fillId="5" borderId="16" xfId="0" applyNumberFormat="1" applyFont="1" applyFill="1" applyBorder="1"/>
    <xf numFmtId="43" fontId="5" fillId="5" borderId="0" xfId="0" applyNumberFormat="1" applyFont="1" applyFill="1"/>
    <xf numFmtId="43" fontId="5" fillId="5" borderId="16" xfId="0" applyNumberFormat="1" applyFont="1" applyFill="1" applyBorder="1"/>
    <xf numFmtId="164" fontId="5" fillId="5" borderId="2" xfId="0" applyNumberFormat="1" applyFont="1" applyFill="1" applyBorder="1"/>
    <xf numFmtId="164" fontId="5" fillId="5" borderId="28" xfId="0" applyNumberFormat="1" applyFont="1" applyFill="1" applyBorder="1"/>
    <xf numFmtId="0" fontId="0" fillId="5" borderId="4" xfId="0" applyFill="1" applyBorder="1"/>
    <xf numFmtId="0" fontId="0" fillId="5" borderId="18" xfId="0" applyFill="1" applyBorder="1"/>
    <xf numFmtId="0" fontId="0" fillId="0" borderId="33" xfId="0" applyBorder="1"/>
    <xf numFmtId="166" fontId="41" fillId="0" borderId="15" xfId="0" applyNumberFormat="1" applyFont="1" applyBorder="1"/>
    <xf numFmtId="0" fontId="0" fillId="0" borderId="18" xfId="0" applyBorder="1"/>
    <xf numFmtId="164" fontId="0" fillId="0" borderId="0" xfId="1" applyNumberFormat="1" applyFont="1" applyFill="1" applyBorder="1" applyProtection="1"/>
    <xf numFmtId="43" fontId="2" fillId="0" borderId="0" xfId="1" applyFont="1" applyFill="1" applyBorder="1" applyProtection="1">
      <protection locked="0"/>
    </xf>
    <xf numFmtId="0" fontId="3" fillId="0" borderId="0" xfId="54" applyFont="1" applyAlignment="1">
      <alignment horizontal="right"/>
    </xf>
    <xf numFmtId="0" fontId="2" fillId="0" borderId="0" xfId="54" applyFont="1" applyAlignment="1">
      <alignment horizontal="right"/>
    </xf>
    <xf numFmtId="0" fontId="2" fillId="0" borderId="0" xfId="54" quotePrefix="1" applyFont="1" applyAlignment="1">
      <alignment horizontal="center"/>
    </xf>
    <xf numFmtId="164" fontId="2" fillId="2" borderId="0" xfId="1" applyNumberFormat="1" applyFont="1" applyFill="1" applyProtection="1"/>
    <xf numFmtId="0" fontId="0" fillId="0" borderId="17" xfId="0" applyBorder="1"/>
    <xf numFmtId="43" fontId="0" fillId="0" borderId="0" xfId="1" applyFont="1" applyFill="1" applyProtection="1"/>
    <xf numFmtId="0" fontId="0" fillId="0" borderId="26" xfId="0" applyBorder="1"/>
    <xf numFmtId="0" fontId="1" fillId="0" borderId="15" xfId="0" applyFont="1" applyBorder="1"/>
    <xf numFmtId="164" fontId="2" fillId="0" borderId="0" xfId="0" applyNumberFormat="1" applyFont="1" applyAlignment="1">
      <alignment horizontal="left"/>
    </xf>
    <xf numFmtId="164" fontId="0" fillId="0" borderId="0" xfId="0" applyNumberFormat="1" applyAlignment="1">
      <alignment horizontal="left"/>
    </xf>
    <xf numFmtId="164" fontId="2" fillId="0" borderId="0" xfId="1" applyNumberFormat="1" applyFont="1" applyFill="1" applyBorder="1" applyAlignment="1" applyProtection="1">
      <alignment horizontal="left"/>
    </xf>
    <xf numFmtId="164" fontId="2" fillId="0" borderId="2" xfId="1" applyNumberFormat="1" applyFont="1" applyFill="1" applyBorder="1" applyAlignment="1" applyProtection="1">
      <alignment horizontal="left"/>
    </xf>
    <xf numFmtId="0" fontId="2" fillId="0" borderId="4" xfId="0" applyFont="1" applyBorder="1"/>
    <xf numFmtId="164" fontId="2" fillId="0" borderId="0" xfId="0" applyNumberFormat="1" applyFont="1"/>
    <xf numFmtId="0" fontId="1" fillId="0" borderId="0" xfId="0" applyFont="1" applyAlignment="1">
      <alignment horizontal="right"/>
    </xf>
    <xf numFmtId="0" fontId="0" fillId="0" borderId="0" xfId="0" applyAlignment="1">
      <alignment horizontal="left"/>
    </xf>
    <xf numFmtId="14" fontId="1" fillId="0" borderId="15" xfId="0" applyNumberFormat="1" applyFont="1" applyBorder="1"/>
    <xf numFmtId="0" fontId="1" fillId="0" borderId="15" xfId="0" applyFont="1" applyBorder="1" applyAlignment="1">
      <alignment horizontal="left" vertical="center" wrapText="1"/>
    </xf>
    <xf numFmtId="14" fontId="0" fillId="0" borderId="15" xfId="0" applyNumberFormat="1" applyBorder="1"/>
    <xf numFmtId="0" fontId="8" fillId="0" borderId="20" xfId="0" applyFont="1" applyBorder="1" applyAlignment="1">
      <alignment horizontal="center"/>
    </xf>
    <xf numFmtId="0" fontId="2" fillId="0" borderId="22" xfId="0" applyFont="1" applyBorder="1" applyAlignment="1">
      <alignment horizontal="center"/>
    </xf>
    <xf numFmtId="0" fontId="48" fillId="0" borderId="23" xfId="0" applyFont="1" applyBorder="1" applyAlignment="1">
      <alignment horizontal="center"/>
    </xf>
    <xf numFmtId="0" fontId="48" fillId="0" borderId="24" xfId="0" applyFont="1" applyBorder="1" applyAlignment="1">
      <alignment horizontal="center"/>
    </xf>
    <xf numFmtId="172" fontId="5" fillId="0" borderId="15" xfId="0" applyNumberFormat="1" applyFont="1" applyBorder="1"/>
    <xf numFmtId="43" fontId="5" fillId="0" borderId="0" xfId="0" applyNumberFormat="1" applyFont="1"/>
    <xf numFmtId="43" fontId="5" fillId="0" borderId="0" xfId="1" applyFont="1" applyFill="1" applyBorder="1" applyProtection="1"/>
    <xf numFmtId="164" fontId="5" fillId="0" borderId="27" xfId="0" applyNumberFormat="1" applyFont="1" applyBorder="1"/>
    <xf numFmtId="0" fontId="8" fillId="0" borderId="15" xfId="0" applyFont="1" applyBorder="1"/>
    <xf numFmtId="0" fontId="1" fillId="0" borderId="17" xfId="0" applyFont="1" applyBorder="1"/>
    <xf numFmtId="171" fontId="8" fillId="0" borderId="2" xfId="59" applyNumberFormat="1" applyFont="1" applyFill="1" applyBorder="1" applyProtection="1"/>
    <xf numFmtId="171" fontId="5" fillId="0" borderId="15" xfId="59" applyNumberFormat="1" applyFont="1" applyFill="1" applyBorder="1" applyProtection="1"/>
    <xf numFmtId="171" fontId="5" fillId="0" borderId="0" xfId="59" applyNumberFormat="1" applyFont="1" applyFill="1" applyBorder="1" applyProtection="1"/>
    <xf numFmtId="171" fontId="29" fillId="0" borderId="4" xfId="59" applyNumberFormat="1" applyFont="1" applyFill="1" applyBorder="1" applyProtection="1"/>
    <xf numFmtId="164" fontId="0" fillId="0" borderId="16" xfId="0" applyNumberFormat="1" applyBorder="1"/>
    <xf numFmtId="171" fontId="29" fillId="0" borderId="18" xfId="59" applyNumberFormat="1" applyFont="1" applyFill="1" applyBorder="1" applyProtection="1"/>
    <xf numFmtId="0" fontId="43" fillId="0" borderId="16" xfId="1" applyNumberFormat="1" applyFont="1" applyFill="1" applyBorder="1" applyAlignment="1" applyProtection="1">
      <alignment horizontal="left" vertical="center"/>
    </xf>
    <xf numFmtId="44" fontId="0" fillId="0" borderId="0" xfId="0" applyNumberFormat="1" applyAlignment="1">
      <alignment vertical="center"/>
    </xf>
    <xf numFmtId="171" fontId="29" fillId="0" borderId="0" xfId="59" applyNumberFormat="1" applyFont="1" applyFill="1" applyBorder="1" applyProtection="1"/>
    <xf numFmtId="164" fontId="29" fillId="0" borderId="4" xfId="1" applyNumberFormat="1" applyFont="1" applyFill="1" applyBorder="1" applyProtection="1"/>
    <xf numFmtId="171" fontId="29" fillId="0" borderId="16" xfId="59" applyNumberFormat="1" applyFont="1" applyFill="1" applyBorder="1" applyProtection="1"/>
    <xf numFmtId="164" fontId="0" fillId="0" borderId="18" xfId="0" applyNumberFormat="1" applyBorder="1"/>
    <xf numFmtId="0" fontId="8" fillId="0" borderId="3" xfId="0" applyFont="1" applyBorder="1" applyAlignment="1">
      <alignment horizontal="center"/>
    </xf>
    <xf numFmtId="43" fontId="0" fillId="0" borderId="0" xfId="1" applyFont="1" applyFill="1" applyBorder="1" applyProtection="1"/>
    <xf numFmtId="164" fontId="0" fillId="0" borderId="5" xfId="1" applyNumberFormat="1" applyFont="1" applyFill="1" applyBorder="1" applyProtection="1"/>
    <xf numFmtId="164" fontId="0" fillId="0" borderId="1" xfId="1" applyNumberFormat="1" applyFont="1" applyFill="1" applyBorder="1" applyProtection="1"/>
    <xf numFmtId="168" fontId="0" fillId="0" borderId="0" xfId="59" applyNumberFormat="1" applyFont="1" applyFill="1" applyProtection="1"/>
    <xf numFmtId="0" fontId="57" fillId="0" borderId="0" xfId="0" applyFont="1"/>
    <xf numFmtId="164" fontId="0" fillId="0" borderId="3" xfId="1" applyNumberFormat="1" applyFont="1" applyFill="1" applyBorder="1" applyProtection="1"/>
    <xf numFmtId="164" fontId="50" fillId="0" borderId="2" xfId="1" applyNumberFormat="1" applyFont="1" applyFill="1" applyBorder="1" applyProtection="1"/>
    <xf numFmtId="0" fontId="41" fillId="0" borderId="0" xfId="0" applyFont="1"/>
    <xf numFmtId="164" fontId="5" fillId="0" borderId="0" xfId="1" applyNumberFormat="1" applyFont="1" applyFill="1" applyBorder="1" applyAlignment="1" applyProtection="1">
      <alignment horizontal="center"/>
    </xf>
    <xf numFmtId="164" fontId="1" fillId="0" borderId="3" xfId="1" applyNumberFormat="1" applyFont="1" applyFill="1" applyBorder="1" applyProtection="1"/>
    <xf numFmtId="164" fontId="1" fillId="0" borderId="0" xfId="1" applyNumberFormat="1" applyFont="1" applyFill="1" applyBorder="1" applyProtection="1"/>
    <xf numFmtId="164" fontId="1" fillId="0" borderId="1" xfId="1" applyNumberFormat="1" applyFont="1" applyFill="1" applyBorder="1" applyProtection="1"/>
    <xf numFmtId="164" fontId="0" fillId="0" borderId="1" xfId="0" applyNumberFormat="1" applyBorder="1"/>
    <xf numFmtId="164" fontId="8" fillId="0" borderId="2" xfId="1" applyNumberFormat="1" applyFont="1" applyFill="1" applyBorder="1" applyProtection="1"/>
    <xf numFmtId="0" fontId="41" fillId="0" borderId="0" xfId="0" applyFont="1" applyAlignment="1">
      <alignment horizontal="center"/>
    </xf>
    <xf numFmtId="0" fontId="13" fillId="0" borderId="0" xfId="54" applyFont="1" applyAlignment="1">
      <alignment horizontal="left"/>
    </xf>
    <xf numFmtId="166" fontId="12" fillId="0" borderId="0" xfId="1" applyNumberFormat="1" applyFont="1" applyFill="1" applyBorder="1" applyAlignment="1" applyProtection="1">
      <alignment horizontal="right"/>
    </xf>
    <xf numFmtId="41" fontId="12" fillId="0" borderId="0" xfId="1" applyNumberFormat="1" applyFont="1" applyFill="1" applyBorder="1" applyAlignment="1" applyProtection="1">
      <alignment horizontal="right"/>
    </xf>
    <xf numFmtId="166" fontId="12" fillId="0" borderId="2" xfId="19" applyNumberFormat="1" applyFont="1" applyFill="1" applyBorder="1" applyAlignment="1" applyProtection="1">
      <alignment horizontal="right"/>
    </xf>
    <xf numFmtId="0" fontId="4" fillId="0" borderId="0" xfId="54" applyFont="1"/>
    <xf numFmtId="0" fontId="6" fillId="0" borderId="0" xfId="54" applyFont="1"/>
    <xf numFmtId="41" fontId="3" fillId="0" borderId="0" xfId="54" applyNumberFormat="1" applyFont="1" applyAlignment="1">
      <alignment horizontal="center"/>
    </xf>
    <xf numFmtId="166" fontId="13" fillId="0" borderId="0" xfId="54" applyNumberFormat="1" applyFont="1"/>
    <xf numFmtId="166" fontId="12" fillId="0" borderId="0" xfId="19" applyNumberFormat="1" applyFont="1" applyFill="1" applyBorder="1" applyAlignment="1" applyProtection="1">
      <alignment horizontal="right"/>
    </xf>
    <xf numFmtId="41" fontId="10" fillId="0" borderId="0" xfId="54" applyNumberFormat="1" applyFont="1" applyAlignment="1">
      <alignment horizontal="center"/>
    </xf>
    <xf numFmtId="41" fontId="3" fillId="0" borderId="0" xfId="54" applyNumberFormat="1" applyFont="1" applyAlignment="1">
      <alignment horizontal="centerContinuous"/>
    </xf>
    <xf numFmtId="42" fontId="3" fillId="0" borderId="2" xfId="54" applyNumberFormat="1" applyFont="1" applyBorder="1"/>
    <xf numFmtId="41" fontId="3" fillId="0" borderId="0" xfId="54" applyNumberFormat="1" applyFont="1" applyAlignment="1">
      <alignment horizontal="right"/>
    </xf>
    <xf numFmtId="166" fontId="2" fillId="0" borderId="0" xfId="19" applyNumberFormat="1" applyFont="1" applyFill="1" applyBorder="1" applyAlignment="1" applyProtection="1">
      <alignment horizontal="center"/>
    </xf>
    <xf numFmtId="164" fontId="2" fillId="0" borderId="0" xfId="1" applyNumberFormat="1" applyFont="1" applyFill="1" applyBorder="1" applyAlignment="1" applyProtection="1">
      <alignment horizontal="right"/>
    </xf>
    <xf numFmtId="41" fontId="2" fillId="0" borderId="0" xfId="19" applyNumberFormat="1" applyFont="1" applyFill="1" applyBorder="1" applyAlignment="1" applyProtection="1">
      <alignment horizontal="center"/>
    </xf>
    <xf numFmtId="42" fontId="3" fillId="0" borderId="0" xfId="54" applyNumberFormat="1" applyFont="1"/>
    <xf numFmtId="10" fontId="10" fillId="0" borderId="4" xfId="54" quotePrefix="1" applyNumberFormat="1" applyFont="1" applyBorder="1" applyAlignment="1">
      <alignment horizontal="center"/>
    </xf>
    <xf numFmtId="10" fontId="10" fillId="0" borderId="4" xfId="54" applyNumberFormat="1" applyFont="1" applyBorder="1" applyAlignment="1">
      <alignment horizontal="center"/>
    </xf>
    <xf numFmtId="0" fontId="13" fillId="0" borderId="4" xfId="54" applyFont="1" applyBorder="1" applyAlignment="1">
      <alignment horizontal="left" indent="1"/>
    </xf>
    <xf numFmtId="41" fontId="3" fillId="0" borderId="4" xfId="54" applyNumberFormat="1" applyFont="1" applyBorder="1" applyAlignment="1">
      <alignment horizontal="right"/>
    </xf>
    <xf numFmtId="166" fontId="2" fillId="0" borderId="4" xfId="19" applyNumberFormat="1" applyFont="1" applyFill="1" applyBorder="1" applyAlignment="1" applyProtection="1">
      <alignment horizontal="right"/>
    </xf>
    <xf numFmtId="0" fontId="6" fillId="0" borderId="4" xfId="54" applyFont="1" applyBorder="1"/>
    <xf numFmtId="41" fontId="10" fillId="0" borderId="4" xfId="0" applyNumberFormat="1" applyFont="1" applyBorder="1" applyAlignment="1">
      <alignment horizontal="center" wrapText="1"/>
    </xf>
    <xf numFmtId="41" fontId="9" fillId="0" borderId="4" xfId="0" applyNumberFormat="1" applyFont="1" applyBorder="1" applyAlignment="1">
      <alignment horizontal="center" wrapText="1"/>
    </xf>
    <xf numFmtId="164" fontId="0" fillId="0" borderId="0" xfId="1" applyNumberFormat="1" applyFont="1" applyFill="1"/>
    <xf numFmtId="164" fontId="0" fillId="0" borderId="2" xfId="0" applyNumberFormat="1" applyBorder="1"/>
    <xf numFmtId="0" fontId="48" fillId="0" borderId="0" xfId="54" applyFont="1" applyAlignment="1">
      <alignment vertical="top" wrapText="1"/>
    </xf>
    <xf numFmtId="164" fontId="31" fillId="0" borderId="0" xfId="1" applyNumberFormat="1" applyFont="1" applyFill="1" applyProtection="1"/>
    <xf numFmtId="0" fontId="8" fillId="0" borderId="0" xfId="0" applyFont="1" applyAlignment="1">
      <alignment horizontal="right"/>
    </xf>
    <xf numFmtId="0" fontId="48" fillId="0" borderId="0" xfId="54" applyFont="1"/>
    <xf numFmtId="41" fontId="10" fillId="0" borderId="4" xfId="54" applyNumberFormat="1" applyFont="1" applyBorder="1" applyAlignment="1">
      <alignment horizontal="center" wrapText="1"/>
    </xf>
    <xf numFmtId="173" fontId="2" fillId="0" borderId="0" xfId="54" applyNumberFormat="1" applyFont="1"/>
    <xf numFmtId="0" fontId="18" fillId="0" borderId="0" xfId="57" applyFont="1" applyAlignment="1">
      <alignment horizontal="left"/>
    </xf>
    <xf numFmtId="0" fontId="19" fillId="0" borderId="0" xfId="0" applyFont="1" applyAlignment="1">
      <alignment wrapText="1"/>
    </xf>
    <xf numFmtId="43" fontId="1" fillId="0" borderId="0" xfId="54" applyNumberFormat="1"/>
    <xf numFmtId="164" fontId="72" fillId="2" borderId="0" xfId="1" applyNumberFormat="1" applyFont="1" applyFill="1" applyBorder="1" applyAlignment="1" applyProtection="1">
      <alignment horizontal="center" wrapText="1"/>
      <protection locked="0"/>
    </xf>
    <xf numFmtId="0" fontId="56" fillId="0" borderId="4" xfId="0" applyFont="1" applyBorder="1" applyAlignment="1">
      <alignment vertical="top" wrapText="1"/>
    </xf>
    <xf numFmtId="0" fontId="0" fillId="0" borderId="4" xfId="0" applyBorder="1" applyProtection="1">
      <protection locked="0"/>
    </xf>
    <xf numFmtId="172" fontId="5" fillId="0" borderId="0" xfId="0" applyNumberFormat="1" applyFont="1"/>
    <xf numFmtId="43" fontId="2" fillId="2" borderId="0" xfId="1" quotePrefix="1" applyFont="1" applyFill="1" applyProtection="1"/>
    <xf numFmtId="43" fontId="2" fillId="0" borderId="5" xfId="54" applyNumberFormat="1" applyFont="1" applyBorder="1"/>
    <xf numFmtId="0" fontId="3" fillId="0" borderId="0" xfId="54" applyFont="1" applyAlignment="1">
      <alignment vertical="center"/>
    </xf>
    <xf numFmtId="0" fontId="15" fillId="0" borderId="0" xfId="57" applyFont="1" applyAlignment="1">
      <alignment horizontal="center"/>
    </xf>
    <xf numFmtId="0" fontId="19" fillId="0" borderId="0" xfId="0" applyFont="1" applyAlignment="1">
      <alignment horizontal="center" wrapText="1"/>
    </xf>
    <xf numFmtId="0" fontId="16" fillId="0" borderId="0" xfId="57" applyFont="1"/>
    <xf numFmtId="164" fontId="17" fillId="0" borderId="0" xfId="1" applyNumberFormat="1" applyFont="1" applyFill="1" applyBorder="1" applyAlignment="1" applyProtection="1">
      <alignment horizontal="center" wrapText="1"/>
    </xf>
    <xf numFmtId="0" fontId="15" fillId="0" borderId="0" xfId="57" applyFont="1"/>
    <xf numFmtId="0" fontId="15" fillId="0" borderId="0" xfId="58" applyFont="1"/>
    <xf numFmtId="0" fontId="25" fillId="0" borderId="0" xfId="0" applyFont="1"/>
    <xf numFmtId="164" fontId="33" fillId="0" borderId="0" xfId="13" applyNumberFormat="1" applyFont="1" applyFill="1" applyProtection="1"/>
    <xf numFmtId="0" fontId="14" fillId="0" borderId="0" xfId="0" applyFont="1"/>
    <xf numFmtId="0" fontId="14" fillId="0" borderId="0" xfId="0" applyFont="1" applyAlignment="1">
      <alignment horizontal="left" indent="2"/>
    </xf>
    <xf numFmtId="0" fontId="6" fillId="0" borderId="0" xfId="0" applyFont="1"/>
    <xf numFmtId="164" fontId="29" fillId="0" borderId="0" xfId="1" applyNumberFormat="1" applyFont="1" applyFill="1" applyProtection="1"/>
    <xf numFmtId="0" fontId="14" fillId="0" borderId="0" xfId="0" applyFont="1" applyAlignment="1">
      <alignment horizontal="left"/>
    </xf>
    <xf numFmtId="0" fontId="2" fillId="0" borderId="0" xfId="0" applyFont="1" applyAlignment="1">
      <alignment horizontal="left" indent="2"/>
    </xf>
    <xf numFmtId="0" fontId="20" fillId="0" borderId="0" xfId="0" applyFont="1" applyAlignment="1">
      <alignment horizontal="left"/>
    </xf>
    <xf numFmtId="0" fontId="20" fillId="0" borderId="0" xfId="0" applyFont="1"/>
    <xf numFmtId="164" fontId="20" fillId="0" borderId="6" xfId="1" applyNumberFormat="1" applyFont="1" applyFill="1" applyBorder="1" applyProtection="1"/>
    <xf numFmtId="164" fontId="20" fillId="0" borderId="0" xfId="1" applyNumberFormat="1" applyFont="1" applyFill="1" applyProtection="1"/>
    <xf numFmtId="0" fontId="18" fillId="0" borderId="0" xfId="0" applyFont="1"/>
    <xf numFmtId="164" fontId="0" fillId="0" borderId="7" xfId="1" applyNumberFormat="1" applyFont="1" applyFill="1" applyBorder="1" applyProtection="1"/>
    <xf numFmtId="164" fontId="0" fillId="0" borderId="8" xfId="1" applyNumberFormat="1" applyFont="1" applyFill="1" applyBorder="1" applyProtection="1"/>
    <xf numFmtId="0" fontId="19" fillId="0" borderId="8" xfId="0" applyFont="1" applyBorder="1"/>
    <xf numFmtId="0" fontId="0" fillId="0" borderId="8" xfId="0" applyBorder="1"/>
    <xf numFmtId="0" fontId="0" fillId="0" borderId="9" xfId="0" applyBorder="1"/>
    <xf numFmtId="164" fontId="0" fillId="0" borderId="10" xfId="1" applyNumberFormat="1" applyFont="1" applyFill="1" applyBorder="1" applyProtection="1"/>
    <xf numFmtId="0" fontId="19" fillId="0" borderId="0" xfId="0" applyFont="1"/>
    <xf numFmtId="0" fontId="0" fillId="0" borderId="11" xfId="0" applyBorder="1"/>
    <xf numFmtId="0" fontId="17" fillId="0" borderId="0" xfId="57" quotePrefix="1" applyFont="1" applyAlignment="1">
      <alignment horizontal="center"/>
    </xf>
    <xf numFmtId="0" fontId="18" fillId="0" borderId="0" xfId="0" applyFont="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0" fillId="0" borderId="13" xfId="0" applyBorder="1"/>
    <xf numFmtId="0" fontId="0" fillId="0" borderId="14" xfId="0" applyBorder="1"/>
    <xf numFmtId="0" fontId="0" fillId="0" borderId="0" xfId="0" applyAlignment="1">
      <alignment horizontal="left" indent="1"/>
    </xf>
    <xf numFmtId="0" fontId="39" fillId="0" borderId="23" xfId="0" applyFont="1" applyBorder="1" applyAlignment="1">
      <alignment horizontal="left" indent="1"/>
    </xf>
    <xf numFmtId="0" fontId="18" fillId="0" borderId="24" xfId="0" applyFont="1" applyBorder="1" applyAlignment="1">
      <alignment horizontal="left" wrapText="1"/>
    </xf>
    <xf numFmtId="0" fontId="1" fillId="0" borderId="15" xfId="0" applyFont="1" applyBorder="1" applyAlignment="1">
      <alignment horizontal="left" indent="3"/>
    </xf>
    <xf numFmtId="0" fontId="1" fillId="0" borderId="15" xfId="0" applyFont="1" applyBorder="1" applyAlignment="1">
      <alignment horizontal="left" wrapText="1" indent="3"/>
    </xf>
    <xf numFmtId="0" fontId="1" fillId="0" borderId="15" xfId="0" applyFont="1" applyBorder="1" applyAlignment="1">
      <alignment horizontal="left" indent="1"/>
    </xf>
    <xf numFmtId="0" fontId="18" fillId="0" borderId="15" xfId="0" applyFont="1" applyBorder="1" applyAlignment="1">
      <alignment horizontal="left" wrapText="1"/>
    </xf>
    <xf numFmtId="164" fontId="0" fillId="0" borderId="2" xfId="1" applyNumberFormat="1" applyFont="1" applyFill="1" applyBorder="1" applyProtection="1"/>
    <xf numFmtId="0" fontId="1" fillId="0" borderId="16" xfId="0" applyFont="1" applyBorder="1" applyAlignment="1">
      <alignment vertical="top" wrapText="1"/>
    </xf>
    <xf numFmtId="0" fontId="1" fillId="0" borderId="0" xfId="0" applyFont="1" applyAlignment="1">
      <alignment vertical="top" wrapText="1"/>
    </xf>
    <xf numFmtId="0" fontId="18" fillId="0" borderId="17" xfId="0" applyFont="1" applyBorder="1" applyAlignment="1">
      <alignment horizontal="left" wrapText="1"/>
    </xf>
    <xf numFmtId="164" fontId="0" fillId="0" borderId="4" xfId="1" applyNumberFormat="1" applyFont="1" applyFill="1" applyBorder="1" applyProtection="1"/>
    <xf numFmtId="0" fontId="1" fillId="0" borderId="4" xfId="0" applyFont="1" applyBorder="1" applyAlignment="1">
      <alignment vertical="top" wrapText="1"/>
    </xf>
    <xf numFmtId="0" fontId="1" fillId="0" borderId="18" xfId="0" applyFont="1" applyBorder="1" applyAlignment="1">
      <alignment vertical="top" wrapText="1"/>
    </xf>
    <xf numFmtId="164" fontId="0" fillId="0" borderId="24" xfId="1" applyNumberFormat="1" applyFont="1" applyFill="1" applyBorder="1" applyProtection="1"/>
    <xf numFmtId="164" fontId="0" fillId="0" borderId="25" xfId="1" applyNumberFormat="1" applyFont="1" applyFill="1" applyBorder="1" applyProtection="1"/>
    <xf numFmtId="0" fontId="0" fillId="0" borderId="15" xfId="0" applyBorder="1" applyAlignment="1">
      <alignment horizontal="left" indent="1"/>
    </xf>
    <xf numFmtId="0" fontId="18" fillId="0" borderId="16" xfId="0" applyFont="1" applyBorder="1" applyAlignment="1">
      <alignment horizontal="left" wrapText="1"/>
    </xf>
    <xf numFmtId="164" fontId="0" fillId="0" borderId="16" xfId="1" applyNumberFormat="1" applyFont="1" applyFill="1" applyBorder="1" applyProtection="1"/>
    <xf numFmtId="171" fontId="0" fillId="0" borderId="0" xfId="59" applyNumberFormat="1" applyFont="1" applyFill="1" applyBorder="1" applyProtection="1"/>
    <xf numFmtId="0" fontId="17" fillId="0" borderId="16" xfId="57" quotePrefix="1" applyFont="1" applyBorder="1" applyAlignment="1">
      <alignment horizontal="center"/>
    </xf>
    <xf numFmtId="171" fontId="0" fillId="0" borderId="1" xfId="59" applyNumberFormat="1" applyFont="1" applyFill="1" applyBorder="1" applyProtection="1"/>
    <xf numFmtId="0" fontId="17" fillId="0" borderId="17" xfId="57" quotePrefix="1" applyFont="1" applyBorder="1" applyAlignment="1">
      <alignment horizontal="center"/>
    </xf>
    <xf numFmtId="164" fontId="0" fillId="0" borderId="18" xfId="1" applyNumberFormat="1" applyFont="1" applyFill="1" applyBorder="1" applyProtection="1"/>
    <xf numFmtId="171" fontId="0" fillId="0" borderId="0" xfId="59" applyNumberFormat="1" applyFont="1" applyProtection="1"/>
    <xf numFmtId="164" fontId="0" fillId="0" borderId="0" xfId="1" applyNumberFormat="1" applyFont="1" applyBorder="1" applyProtection="1"/>
    <xf numFmtId="171" fontId="0" fillId="0" borderId="0" xfId="59" applyNumberFormat="1" applyFont="1" applyBorder="1" applyProtection="1"/>
    <xf numFmtId="0" fontId="8" fillId="5" borderId="0" xfId="0" applyFont="1" applyFill="1" applyAlignment="1">
      <alignment wrapText="1"/>
    </xf>
    <xf numFmtId="164" fontId="0" fillId="5" borderId="0" xfId="0" applyNumberFormat="1" applyFill="1"/>
    <xf numFmtId="164" fontId="0" fillId="0" borderId="1" xfId="1" applyNumberFormat="1" applyFont="1" applyBorder="1" applyProtection="1"/>
    <xf numFmtId="164" fontId="31" fillId="2" borderId="0" xfId="1" applyNumberFormat="1" applyFont="1" applyFill="1" applyProtection="1">
      <protection locked="0"/>
    </xf>
    <xf numFmtId="164" fontId="2" fillId="2" borderId="0" xfId="1" applyNumberFormat="1" applyFont="1" applyFill="1" applyBorder="1" applyAlignment="1" applyProtection="1">
      <alignment horizontal="left"/>
      <protection locked="0"/>
    </xf>
    <xf numFmtId="171" fontId="5" fillId="2" borderId="0" xfId="59" applyNumberFormat="1" applyFont="1" applyFill="1" applyBorder="1" applyProtection="1">
      <protection locked="0"/>
    </xf>
    <xf numFmtId="169" fontId="2" fillId="2" borderId="0" xfId="59" quotePrefix="1" applyNumberFormat="1" applyFont="1" applyFill="1" applyProtection="1">
      <protection locked="0"/>
    </xf>
    <xf numFmtId="164" fontId="2" fillId="2" borderId="0" xfId="1" applyNumberFormat="1" applyFont="1" applyFill="1" applyBorder="1" applyProtection="1">
      <protection locked="0"/>
    </xf>
    <xf numFmtId="0" fontId="8" fillId="0" borderId="0" xfId="0" applyFont="1" applyAlignment="1">
      <alignment horizontal="left"/>
    </xf>
    <xf numFmtId="43" fontId="2" fillId="2" borderId="0" xfId="1" quotePrefix="1" applyFont="1" applyFill="1" applyProtection="1">
      <protection locked="0"/>
    </xf>
    <xf numFmtId="0" fontId="8" fillId="0" borderId="20" xfId="0" applyFont="1" applyBorder="1" applyAlignment="1" applyProtection="1">
      <alignment horizontal="center"/>
      <protection locked="0"/>
    </xf>
    <xf numFmtId="171" fontId="5" fillId="2" borderId="0" xfId="59" applyNumberFormat="1" applyFont="1" applyFill="1" applyProtection="1">
      <protection locked="0"/>
    </xf>
    <xf numFmtId="0" fontId="0" fillId="0" borderId="0" xfId="0" applyAlignment="1">
      <alignment vertical="top" wrapText="1"/>
    </xf>
    <xf numFmtId="0" fontId="0" fillId="0" borderId="0" xfId="0" applyAlignment="1">
      <alignment wrapText="1"/>
    </xf>
    <xf numFmtId="0" fontId="8" fillId="0" borderId="4" xfId="0" applyFont="1" applyBorder="1"/>
    <xf numFmtId="0" fontId="8" fillId="0" borderId="4" xfId="0" applyFont="1" applyBorder="1" applyAlignment="1">
      <alignment horizontal="center" wrapText="1"/>
    </xf>
    <xf numFmtId="0" fontId="0" fillId="0" borderId="2" xfId="0" applyBorder="1" applyAlignment="1">
      <alignment wrapText="1"/>
    </xf>
    <xf numFmtId="171" fontId="45" fillId="2" borderId="0" xfId="59" applyNumberFormat="1" applyFont="1" applyFill="1" applyBorder="1" applyAlignment="1" applyProtection="1">
      <alignment horizontal="center" wrapText="1"/>
      <protection locked="0"/>
    </xf>
    <xf numFmtId="9" fontId="45" fillId="0" borderId="0" xfId="59" applyFont="1" applyFill="1" applyBorder="1" applyAlignment="1" applyProtection="1">
      <alignment horizontal="center" wrapText="1"/>
    </xf>
    <xf numFmtId="164" fontId="5" fillId="0" borderId="0" xfId="1" applyNumberFormat="1" applyFont="1" applyFill="1" applyBorder="1" applyProtection="1"/>
    <xf numFmtId="164" fontId="0" fillId="3" borderId="0" xfId="1" applyNumberFormat="1" applyFont="1" applyFill="1" applyProtection="1"/>
    <xf numFmtId="164" fontId="0" fillId="3" borderId="0" xfId="1" applyNumberFormat="1" applyFont="1" applyFill="1" applyBorder="1" applyProtection="1"/>
    <xf numFmtId="164" fontId="0" fillId="3" borderId="5" xfId="1" applyNumberFormat="1" applyFont="1" applyFill="1" applyBorder="1" applyProtection="1"/>
    <xf numFmtId="43" fontId="0" fillId="3" borderId="0" xfId="1" applyFont="1" applyFill="1" applyBorder="1" applyProtection="1"/>
    <xf numFmtId="164" fontId="0" fillId="3" borderId="1" xfId="1" applyNumberFormat="1" applyFont="1" applyFill="1" applyBorder="1" applyProtection="1"/>
    <xf numFmtId="164" fontId="0" fillId="3" borderId="3" xfId="1" applyNumberFormat="1" applyFont="1" applyFill="1" applyBorder="1" applyProtection="1"/>
    <xf numFmtId="168" fontId="0" fillId="3" borderId="0" xfId="59" applyNumberFormat="1" applyFont="1" applyFill="1" applyProtection="1"/>
    <xf numFmtId="164" fontId="50" fillId="3" borderId="2" xfId="1" applyNumberFormat="1" applyFont="1" applyFill="1" applyBorder="1" applyProtection="1"/>
    <xf numFmtId="164" fontId="5" fillId="3" borderId="0" xfId="1" applyNumberFormat="1" applyFont="1" applyFill="1" applyBorder="1" applyAlignment="1" applyProtection="1">
      <alignment horizontal="center"/>
    </xf>
    <xf numFmtId="164" fontId="1" fillId="3" borderId="1" xfId="1" applyNumberFormat="1" applyFont="1" applyFill="1" applyBorder="1" applyProtection="1"/>
    <xf numFmtId="164" fontId="8" fillId="3" borderId="2" xfId="1" applyNumberFormat="1" applyFont="1" applyFill="1" applyBorder="1" applyProtection="1"/>
    <xf numFmtId="0" fontId="41" fillId="3" borderId="0" xfId="0" applyFont="1" applyFill="1" applyAlignment="1">
      <alignment horizontal="center"/>
    </xf>
    <xf numFmtId="0" fontId="8" fillId="3" borderId="3" xfId="0" applyFont="1" applyFill="1" applyBorder="1" applyAlignment="1">
      <alignment horizontal="center"/>
    </xf>
    <xf numFmtId="0" fontId="0" fillId="0" borderId="0" xfId="0" applyAlignment="1">
      <alignment horizontal="right"/>
    </xf>
    <xf numFmtId="43" fontId="5" fillId="0" borderId="15" xfId="0" applyNumberFormat="1" applyFont="1" applyBorder="1"/>
    <xf numFmtId="172" fontId="0" fillId="0" borderId="0" xfId="0" applyNumberFormat="1"/>
    <xf numFmtId="164" fontId="2" fillId="2" borderId="0" xfId="1" quotePrefix="1" applyNumberFormat="1" applyFont="1" applyFill="1" applyProtection="1">
      <protection locked="0"/>
    </xf>
    <xf numFmtId="164" fontId="0" fillId="0" borderId="0" xfId="1" applyNumberFormat="1" applyFont="1" applyFill="1" applyBorder="1" applyAlignment="1" applyProtection="1">
      <alignment vertical="center"/>
    </xf>
    <xf numFmtId="164" fontId="33" fillId="0" borderId="0" xfId="1" applyNumberFormat="1" applyFont="1" applyFill="1" applyBorder="1" applyAlignment="1" applyProtection="1">
      <alignment vertical="center"/>
    </xf>
    <xf numFmtId="164" fontId="1" fillId="0" borderId="15" xfId="1" applyNumberFormat="1" applyFont="1" applyFill="1" applyBorder="1" applyAlignment="1" applyProtection="1">
      <alignment vertical="center" wrapText="1"/>
    </xf>
    <xf numFmtId="164" fontId="0" fillId="0" borderId="0" xfId="1" applyNumberFormat="1" applyFont="1" applyFill="1" applyBorder="1" applyAlignment="1" applyProtection="1">
      <alignment horizontal="center" vertical="center"/>
    </xf>
    <xf numFmtId="164" fontId="33" fillId="0" borderId="0" xfId="1" applyNumberFormat="1" applyFont="1" applyFill="1" applyBorder="1" applyAlignment="1" applyProtection="1">
      <alignment horizontal="center" vertical="center"/>
    </xf>
    <xf numFmtId="42" fontId="2" fillId="0" borderId="0" xfId="19" applyNumberFormat="1" applyFont="1" applyFill="1" applyBorder="1" applyProtection="1"/>
    <xf numFmtId="41" fontId="13" fillId="0" borderId="0" xfId="1" applyNumberFormat="1" applyFont="1" applyFill="1" applyBorder="1" applyAlignment="1" applyProtection="1">
      <alignment horizontal="center"/>
    </xf>
    <xf numFmtId="41" fontId="1" fillId="0" borderId="0" xfId="1" applyNumberFormat="1" applyFill="1" applyBorder="1" applyProtection="1"/>
    <xf numFmtId="42" fontId="2" fillId="0" borderId="0" xfId="1" applyNumberFormat="1" applyFont="1" applyFill="1" applyProtection="1"/>
    <xf numFmtId="174" fontId="0" fillId="0" borderId="0" xfId="59" applyNumberFormat="1" applyFont="1" applyProtection="1"/>
    <xf numFmtId="43" fontId="0" fillId="0" borderId="4" xfId="1" applyFont="1" applyFill="1" applyBorder="1" applyProtection="1"/>
    <xf numFmtId="41" fontId="1" fillId="0" borderId="0" xfId="54" applyNumberFormat="1"/>
    <xf numFmtId="164" fontId="1" fillId="2" borderId="0" xfId="1" applyNumberFormat="1" applyFont="1" applyFill="1" applyBorder="1" applyProtection="1">
      <protection locked="0"/>
    </xf>
    <xf numFmtId="171" fontId="5" fillId="0" borderId="0" xfId="59" applyNumberFormat="1" applyFont="1" applyFill="1" applyAlignment="1" applyProtection="1">
      <alignment horizontal="center"/>
    </xf>
    <xf numFmtId="0" fontId="1" fillId="0" borderId="0" xfId="0" applyFont="1" applyAlignment="1">
      <alignment horizontal="center" wrapText="1"/>
    </xf>
    <xf numFmtId="164" fontId="0" fillId="0" borderId="0" xfId="1" applyNumberFormat="1" applyFont="1" applyFill="1" applyBorder="1"/>
    <xf numFmtId="0" fontId="8" fillId="0" borderId="0" xfId="0" applyFont="1" applyAlignment="1">
      <alignment wrapText="1"/>
    </xf>
    <xf numFmtId="0" fontId="1" fillId="0" borderId="0" xfId="0" applyFont="1" applyAlignment="1">
      <alignment horizontal="center"/>
    </xf>
    <xf numFmtId="37" fontId="73" fillId="0" borderId="0" xfId="54" applyNumberFormat="1" applyFont="1"/>
    <xf numFmtId="171" fontId="45" fillId="2" borderId="16" xfId="59" applyNumberFormat="1" applyFont="1" applyFill="1" applyBorder="1" applyAlignment="1" applyProtection="1">
      <alignment horizontal="center" wrapText="1"/>
      <protection locked="0"/>
    </xf>
    <xf numFmtId="9" fontId="45" fillId="0" borderId="16" xfId="59" applyFont="1" applyFill="1" applyBorder="1" applyAlignment="1" applyProtection="1">
      <alignment horizontal="center" wrapText="1"/>
    </xf>
    <xf numFmtId="169" fontId="2" fillId="0" borderId="0" xfId="59" quotePrefix="1" applyNumberFormat="1" applyFont="1" applyFill="1" applyBorder="1" applyProtection="1"/>
    <xf numFmtId="167" fontId="2" fillId="0" borderId="0" xfId="59" applyNumberFormat="1" applyFont="1" applyFill="1" applyBorder="1" applyProtection="1"/>
    <xf numFmtId="10" fontId="2" fillId="0" borderId="0" xfId="59" applyNumberFormat="1" applyFont="1" applyFill="1" applyBorder="1" applyProtection="1"/>
    <xf numFmtId="0" fontId="1" fillId="0" borderId="0" xfId="54" applyAlignment="1">
      <alignment vertical="center" wrapText="1"/>
    </xf>
    <xf numFmtId="43" fontId="0" fillId="0" borderId="0" xfId="1" applyFont="1" applyBorder="1" applyProtection="1"/>
    <xf numFmtId="43" fontId="35" fillId="0" borderId="0" xfId="0" applyNumberFormat="1" applyFont="1" applyAlignment="1">
      <alignment horizontal="center"/>
    </xf>
    <xf numFmtId="171" fontId="2" fillId="0" borderId="0" xfId="59" applyNumberFormat="1" applyFont="1" applyBorder="1" applyAlignment="1" applyProtection="1">
      <alignment horizontal="right"/>
    </xf>
    <xf numFmtId="164" fontId="5" fillId="0" borderId="16" xfId="0" applyNumberFormat="1" applyFont="1" applyBorder="1" applyProtection="1">
      <protection locked="0"/>
    </xf>
    <xf numFmtId="170" fontId="0" fillId="0" borderId="0" xfId="59" applyNumberFormat="1" applyFont="1" applyBorder="1" applyProtection="1"/>
    <xf numFmtId="171" fontId="5" fillId="2" borderId="16" xfId="59" applyNumberFormat="1" applyFont="1" applyFill="1" applyBorder="1" applyProtection="1">
      <protection locked="0"/>
    </xf>
    <xf numFmtId="0" fontId="0" fillId="5" borderId="0" xfId="0" applyFill="1"/>
    <xf numFmtId="0" fontId="46" fillId="0" borderId="4" xfId="0" applyFont="1" applyBorder="1" applyAlignment="1">
      <alignment horizontal="center" wrapText="1"/>
    </xf>
    <xf numFmtId="0" fontId="46" fillId="0" borderId="30" xfId="0" applyFont="1" applyBorder="1" applyAlignment="1">
      <alignment horizontal="center" wrapText="1"/>
    </xf>
    <xf numFmtId="164" fontId="41" fillId="0" borderId="0" xfId="1" applyNumberFormat="1" applyFont="1" applyFill="1" applyBorder="1" applyProtection="1"/>
    <xf numFmtId="166" fontId="41" fillId="0" borderId="16" xfId="0" applyNumberFormat="1" applyFont="1" applyBorder="1"/>
    <xf numFmtId="0" fontId="8" fillId="0" borderId="15" xfId="0" applyFont="1" applyBorder="1" applyAlignment="1">
      <alignment wrapText="1"/>
    </xf>
    <xf numFmtId="166" fontId="8" fillId="0" borderId="0" xfId="0" applyNumberFormat="1" applyFont="1" applyAlignment="1">
      <alignment vertical="center"/>
    </xf>
    <xf numFmtId="166" fontId="8" fillId="0" borderId="0" xfId="0" applyNumberFormat="1" applyFont="1" applyAlignment="1">
      <alignment horizontal="center" vertical="center"/>
    </xf>
    <xf numFmtId="0" fontId="1" fillId="0" borderId="15" xfId="0" applyFont="1" applyBorder="1" applyAlignment="1">
      <alignment wrapText="1"/>
    </xf>
    <xf numFmtId="0" fontId="1" fillId="0" borderId="15" xfId="0" applyFont="1" applyBorder="1" applyAlignment="1">
      <alignment vertical="center" wrapText="1"/>
    </xf>
    <xf numFmtId="164" fontId="31" fillId="0" borderId="23" xfId="1" applyNumberFormat="1" applyFont="1" applyFill="1" applyBorder="1" applyProtection="1"/>
    <xf numFmtId="164" fontId="31" fillId="0" borderId="24" xfId="1" applyNumberFormat="1" applyFont="1" applyFill="1" applyBorder="1" applyProtection="1"/>
    <xf numFmtId="164" fontId="31" fillId="0" borderId="25" xfId="1" applyNumberFormat="1" applyFont="1" applyFill="1" applyBorder="1" applyProtection="1"/>
    <xf numFmtId="166" fontId="0" fillId="0" borderId="2" xfId="0" applyNumberFormat="1" applyBorder="1"/>
    <xf numFmtId="0" fontId="1" fillId="0" borderId="29" xfId="0" applyFont="1" applyBorder="1"/>
    <xf numFmtId="164" fontId="0" fillId="0" borderId="30" xfId="0" applyNumberFormat="1" applyBorder="1"/>
    <xf numFmtId="0" fontId="0" fillId="0" borderId="30" xfId="0" applyBorder="1"/>
    <xf numFmtId="164" fontId="0" fillId="0" borderId="26" xfId="0" applyNumberFormat="1" applyBorder="1"/>
    <xf numFmtId="14" fontId="8" fillId="0" borderId="15" xfId="0" applyNumberFormat="1" applyFont="1" applyBorder="1"/>
    <xf numFmtId="42" fontId="1" fillId="0" borderId="0" xfId="54" applyNumberFormat="1"/>
    <xf numFmtId="42" fontId="13" fillId="0" borderId="0" xfId="54" applyNumberFormat="1" applyFont="1"/>
    <xf numFmtId="164" fontId="13" fillId="0" borderId="0" xfId="54" applyNumberFormat="1" applyFont="1"/>
    <xf numFmtId="0" fontId="56" fillId="0" borderId="0" xfId="0" applyFont="1" applyAlignment="1">
      <alignment vertical="top" wrapText="1"/>
    </xf>
    <xf numFmtId="0" fontId="0" fillId="6" borderId="0" xfId="0" applyFill="1"/>
    <xf numFmtId="164" fontId="0" fillId="6" borderId="0" xfId="1" applyNumberFormat="1" applyFont="1" applyFill="1"/>
    <xf numFmtId="164" fontId="0" fillId="6" borderId="4" xfId="1" applyNumberFormat="1" applyFont="1" applyFill="1" applyBorder="1"/>
    <xf numFmtId="164" fontId="0" fillId="6" borderId="2" xfId="0" applyNumberFormat="1" applyFill="1" applyBorder="1"/>
    <xf numFmtId="171" fontId="0" fillId="6" borderId="0" xfId="59" applyNumberFormat="1" applyFont="1" applyFill="1"/>
    <xf numFmtId="171" fontId="0" fillId="6" borderId="4" xfId="59" applyNumberFormat="1" applyFont="1" applyFill="1" applyBorder="1"/>
    <xf numFmtId="171" fontId="0" fillId="6" borderId="2" xfId="59" applyNumberFormat="1" applyFont="1" applyFill="1" applyBorder="1"/>
    <xf numFmtId="0" fontId="8" fillId="0" borderId="23" xfId="0" applyFont="1" applyBorder="1" applyAlignment="1">
      <alignment horizontal="center"/>
    </xf>
    <xf numFmtId="171" fontId="0" fillId="0" borderId="0" xfId="0" applyNumberFormat="1"/>
    <xf numFmtId="164" fontId="45" fillId="0" borderId="0" xfId="1" applyNumberFormat="1" applyFont="1" applyFill="1" applyBorder="1" applyAlignment="1" applyProtection="1">
      <alignment horizontal="center" wrapText="1"/>
    </xf>
    <xf numFmtId="164" fontId="46" fillId="0" borderId="2" xfId="1" applyNumberFormat="1" applyFont="1" applyFill="1" applyBorder="1" applyAlignment="1" applyProtection="1">
      <alignment horizontal="center" wrapText="1"/>
    </xf>
    <xf numFmtId="0" fontId="45" fillId="0" borderId="0" xfId="71" applyFont="1"/>
    <xf numFmtId="175" fontId="45" fillId="0" borderId="0" xfId="72" applyNumberFormat="1" applyFont="1"/>
    <xf numFmtId="0" fontId="47" fillId="0" borderId="0" xfId="71" applyFont="1"/>
    <xf numFmtId="49" fontId="68" fillId="0" borderId="0" xfId="71" applyNumberFormat="1" applyFont="1"/>
    <xf numFmtId="0" fontId="2" fillId="0" borderId="0" xfId="71" applyFont="1"/>
    <xf numFmtId="41" fontId="2" fillId="0" borderId="0" xfId="71" applyNumberFormat="1" applyFont="1"/>
    <xf numFmtId="176" fontId="2" fillId="0" borderId="0" xfId="71" applyNumberFormat="1" applyFont="1"/>
    <xf numFmtId="0" fontId="3" fillId="0" borderId="0" xfId="71" applyFont="1" applyAlignment="1">
      <alignment horizontal="center"/>
    </xf>
    <xf numFmtId="49" fontId="3" fillId="0" borderId="1" xfId="71" applyNumberFormat="1" applyFont="1" applyBorder="1" applyAlignment="1">
      <alignment horizontal="center" wrapText="1"/>
    </xf>
    <xf numFmtId="41" fontId="3" fillId="0" borderId="1" xfId="71" applyNumberFormat="1" applyFont="1" applyBorder="1" applyAlignment="1">
      <alignment horizontal="center" wrapText="1"/>
    </xf>
    <xf numFmtId="41" fontId="3" fillId="0" borderId="1" xfId="39" applyNumberFormat="1" applyFont="1" applyBorder="1" applyAlignment="1">
      <alignment horizontal="center" wrapText="1"/>
    </xf>
    <xf numFmtId="41" fontId="3" fillId="0" borderId="0" xfId="39" applyNumberFormat="1" applyFont="1" applyAlignment="1">
      <alignment horizontal="center" wrapText="1"/>
    </xf>
    <xf numFmtId="41" fontId="3" fillId="0" borderId="3" xfId="39" applyNumberFormat="1" applyFont="1" applyBorder="1" applyAlignment="1">
      <alignment horizontal="center" wrapText="1"/>
    </xf>
    <xf numFmtId="0" fontId="3" fillId="0" borderId="0" xfId="39" applyFont="1" applyAlignment="1">
      <alignment horizontal="center" wrapText="1"/>
    </xf>
    <xf numFmtId="0" fontId="47" fillId="0" borderId="0" xfId="71" applyFont="1" applyAlignment="1">
      <alignment horizontal="center"/>
    </xf>
    <xf numFmtId="0" fontId="5" fillId="0" borderId="0" xfId="71" applyFont="1"/>
    <xf numFmtId="41" fontId="5" fillId="0" borderId="0" xfId="73" applyNumberFormat="1" applyFont="1" applyFill="1" applyBorder="1" applyAlignment="1">
      <alignment horizontal="left"/>
    </xf>
    <xf numFmtId="41" fontId="5" fillId="0" borderId="0" xfId="74" applyNumberFormat="1" applyFont="1" applyFill="1" applyBorder="1" applyAlignment="1">
      <alignment horizontal="left"/>
    </xf>
    <xf numFmtId="41" fontId="5" fillId="0" borderId="0" xfId="74" applyNumberFormat="1" applyFont="1" applyFill="1"/>
    <xf numFmtId="41" fontId="5" fillId="0" borderId="0" xfId="74" applyNumberFormat="1" applyFont="1" applyFill="1" applyBorder="1"/>
    <xf numFmtId="41" fontId="67" fillId="0" borderId="0" xfId="73" applyNumberFormat="1" applyFont="1" applyFill="1" applyBorder="1" applyAlignment="1">
      <alignment horizontal="left"/>
    </xf>
    <xf numFmtId="42" fontId="5" fillId="0" borderId="0" xfId="73" applyNumberFormat="1" applyFont="1" applyFill="1" applyBorder="1" applyAlignment="1">
      <alignment horizontal="left"/>
    </xf>
    <xf numFmtId="166" fontId="47" fillId="2" borderId="0" xfId="73" applyNumberFormat="1" applyFont="1" applyFill="1"/>
    <xf numFmtId="166" fontId="47" fillId="2" borderId="0" xfId="71" applyNumberFormat="1" applyFont="1" applyFill="1"/>
    <xf numFmtId="0" fontId="2" fillId="0" borderId="0" xfId="71" applyFont="1" applyAlignment="1">
      <alignment horizontal="center"/>
    </xf>
    <xf numFmtId="41" fontId="5" fillId="0" borderId="0" xfId="73" applyNumberFormat="1" applyFont="1" applyFill="1"/>
    <xf numFmtId="0" fontId="45" fillId="2" borderId="0" xfId="71" applyFont="1" applyFill="1"/>
    <xf numFmtId="49" fontId="2" fillId="0" borderId="0" xfId="71" applyNumberFormat="1" applyFont="1" applyAlignment="1">
      <alignment horizontal="center"/>
    </xf>
    <xf numFmtId="49" fontId="2" fillId="0" borderId="0" xfId="71" applyNumberFormat="1" applyFont="1"/>
    <xf numFmtId="49" fontId="72" fillId="0" borderId="0" xfId="71" applyNumberFormat="1" applyFont="1"/>
    <xf numFmtId="0" fontId="72" fillId="0" borderId="0" xfId="71" applyFont="1"/>
    <xf numFmtId="41" fontId="72" fillId="0" borderId="0" xfId="71" applyNumberFormat="1" applyFont="1"/>
    <xf numFmtId="0" fontId="76" fillId="0" borderId="0" xfId="71" applyFont="1" applyAlignment="1">
      <alignment vertical="center"/>
    </xf>
    <xf numFmtId="43" fontId="47" fillId="0" borderId="0" xfId="71" applyNumberFormat="1" applyFont="1"/>
    <xf numFmtId="10" fontId="0" fillId="0" borderId="0" xfId="59" applyNumberFormat="1" applyFont="1"/>
    <xf numFmtId="42" fontId="13" fillId="0" borderId="0" xfId="54" applyNumberFormat="1" applyFont="1" applyAlignment="1">
      <alignment horizontal="center"/>
    </xf>
    <xf numFmtId="0" fontId="3" fillId="0" borderId="0" xfId="54" applyFont="1" applyAlignment="1">
      <alignment horizontal="centerContinuous"/>
    </xf>
    <xf numFmtId="165" fontId="2" fillId="0" borderId="0" xfId="54" applyNumberFormat="1" applyFont="1" applyAlignment="1">
      <alignment horizontal="left"/>
    </xf>
    <xf numFmtId="165" fontId="2" fillId="0" borderId="0" xfId="54" applyNumberFormat="1" applyFont="1" applyAlignment="1">
      <alignment horizontal="left" indent="2"/>
    </xf>
    <xf numFmtId="41" fontId="3" fillId="0" borderId="0" xfId="54" applyNumberFormat="1" applyFont="1"/>
    <xf numFmtId="165" fontId="7" fillId="0" borderId="0" xfId="54" applyNumberFormat="1" applyFont="1" applyAlignment="1">
      <alignment horizontal="left"/>
    </xf>
    <xf numFmtId="165" fontId="2" fillId="0" borderId="0" xfId="54" applyNumberFormat="1" applyFont="1" applyAlignment="1">
      <alignment horizontal="left" indent="1"/>
    </xf>
    <xf numFmtId="37" fontId="7" fillId="0" borderId="0" xfId="54" applyNumberFormat="1" applyFont="1"/>
    <xf numFmtId="37" fontId="2" fillId="0" borderId="0" xfId="54" applyNumberFormat="1" applyFont="1" applyAlignment="1">
      <alignment wrapText="1"/>
    </xf>
    <xf numFmtId="37" fontId="2" fillId="0" borderId="0" xfId="54" applyNumberFormat="1" applyFont="1" applyAlignment="1">
      <alignment horizontal="right"/>
    </xf>
    <xf numFmtId="37" fontId="48" fillId="0" borderId="0" xfId="54" applyNumberFormat="1" applyFont="1"/>
    <xf numFmtId="37" fontId="2" fillId="0" borderId="1" xfId="54" applyNumberFormat="1" applyFont="1" applyBorder="1"/>
    <xf numFmtId="0" fontId="44" fillId="0" borderId="0" xfId="0" applyFont="1"/>
    <xf numFmtId="0" fontId="53" fillId="0" borderId="4" xfId="0" applyFont="1" applyBorder="1" applyAlignment="1">
      <alignment horizontal="center" wrapText="1"/>
    </xf>
    <xf numFmtId="0" fontId="53" fillId="0" borderId="0" xfId="0" applyFont="1" applyAlignment="1">
      <alignment horizontal="center"/>
    </xf>
    <xf numFmtId="0" fontId="53" fillId="0" borderId="0" xfId="0" applyFont="1" applyAlignment="1">
      <alignment horizontal="center" wrapText="1"/>
    </xf>
    <xf numFmtId="0" fontId="54" fillId="0" borderId="4" xfId="0" applyFont="1" applyBorder="1" applyAlignment="1">
      <alignment horizontal="center" wrapText="1"/>
    </xf>
    <xf numFmtId="0" fontId="53" fillId="0" borderId="30" xfId="0" applyFont="1" applyBorder="1" applyAlignment="1">
      <alignment horizontal="center" wrapText="1"/>
    </xf>
    <xf numFmtId="0" fontId="53" fillId="0" borderId="0" xfId="0" applyFont="1"/>
    <xf numFmtId="164" fontId="45" fillId="2" borderId="0" xfId="1" applyNumberFormat="1" applyFont="1" applyFill="1" applyBorder="1" applyAlignment="1" applyProtection="1">
      <alignment horizontal="center" wrapText="1"/>
    </xf>
    <xf numFmtId="164" fontId="62" fillId="0" borderId="0" xfId="0" applyNumberFormat="1" applyFont="1" applyAlignment="1">
      <alignment horizontal="center"/>
    </xf>
    <xf numFmtId="164" fontId="45" fillId="0" borderId="0" xfId="0" applyNumberFormat="1" applyFont="1" applyAlignment="1">
      <alignment horizontal="center" wrapText="1"/>
    </xf>
    <xf numFmtId="164" fontId="55" fillId="0" borderId="0" xfId="0" applyNumberFormat="1" applyFont="1" applyAlignment="1">
      <alignment horizontal="center"/>
    </xf>
    <xf numFmtId="0" fontId="55" fillId="0" borderId="15" xfId="0" applyFont="1" applyBorder="1" applyAlignment="1">
      <alignment horizontal="center"/>
    </xf>
    <xf numFmtId="164" fontId="45" fillId="0" borderId="0" xfId="0" applyNumberFormat="1" applyFont="1" applyAlignment="1">
      <alignment horizontal="center"/>
    </xf>
    <xf numFmtId="166" fontId="45" fillId="0" borderId="15" xfId="0" applyNumberFormat="1" applyFont="1" applyBorder="1"/>
    <xf numFmtId="166" fontId="41" fillId="0" borderId="17" xfId="0" applyNumberFormat="1" applyFont="1" applyBorder="1"/>
    <xf numFmtId="166" fontId="0" fillId="0" borderId="4" xfId="0" applyNumberFormat="1" applyBorder="1"/>
    <xf numFmtId="166" fontId="0" fillId="0" borderId="4" xfId="0" applyNumberFormat="1" applyBorder="1" applyAlignment="1">
      <alignment horizontal="center"/>
    </xf>
    <xf numFmtId="166" fontId="0" fillId="0" borderId="18" xfId="0" applyNumberFormat="1" applyBorder="1"/>
    <xf numFmtId="0" fontId="52" fillId="0" borderId="25" xfId="0" applyFont="1" applyBorder="1"/>
    <xf numFmtId="0" fontId="46" fillId="0" borderId="16" xfId="0" applyFont="1" applyBorder="1" applyAlignment="1">
      <alignment horizontal="center" wrapText="1"/>
    </xf>
    <xf numFmtId="0" fontId="62" fillId="0" borderId="0" xfId="0" applyFont="1" applyAlignment="1">
      <alignment horizontal="center"/>
    </xf>
    <xf numFmtId="0" fontId="63" fillId="0" borderId="0" xfId="0" applyFont="1"/>
    <xf numFmtId="0" fontId="30" fillId="0" borderId="0" xfId="0" applyFont="1"/>
    <xf numFmtId="164" fontId="72" fillId="0" borderId="0" xfId="1" applyNumberFormat="1" applyFont="1" applyFill="1" applyBorder="1" applyAlignment="1" applyProtection="1">
      <alignment horizontal="center" wrapText="1"/>
    </xf>
    <xf numFmtId="0" fontId="63" fillId="0" borderId="16" xfId="0" applyFont="1" applyBorder="1"/>
    <xf numFmtId="43" fontId="2" fillId="2" borderId="0" xfId="1" applyFont="1" applyFill="1" applyProtection="1">
      <protection locked="0"/>
    </xf>
    <xf numFmtId="0" fontId="53" fillId="7" borderId="30" xfId="0" applyFont="1" applyFill="1" applyBorder="1" applyAlignment="1">
      <alignment horizontal="center" wrapText="1"/>
    </xf>
    <xf numFmtId="0" fontId="46" fillId="7" borderId="0" xfId="0" applyFont="1" applyFill="1" applyAlignment="1">
      <alignment horizontal="center" wrapText="1"/>
    </xf>
    <xf numFmtId="164" fontId="45" fillId="7" borderId="0" xfId="1" applyNumberFormat="1" applyFont="1" applyFill="1" applyBorder="1" applyAlignment="1" applyProtection="1">
      <alignment horizontal="center" wrapText="1"/>
      <protection locked="0"/>
    </xf>
    <xf numFmtId="164" fontId="45" fillId="7" borderId="0" xfId="0" applyNumberFormat="1" applyFont="1" applyFill="1" applyAlignment="1">
      <alignment horizontal="center" wrapText="1"/>
    </xf>
    <xf numFmtId="166" fontId="0" fillId="7" borderId="0" xfId="0" applyNumberFormat="1" applyFill="1"/>
    <xf numFmtId="166" fontId="0" fillId="7" borderId="4" xfId="0" applyNumberFormat="1" applyFill="1" applyBorder="1"/>
    <xf numFmtId="0" fontId="2" fillId="0" borderId="15" xfId="0" applyFont="1" applyBorder="1" applyAlignment="1">
      <alignment horizontal="center"/>
    </xf>
    <xf numFmtId="0" fontId="2" fillId="0" borderId="21" xfId="0" applyFont="1" applyBorder="1" applyAlignment="1">
      <alignment horizontal="center"/>
    </xf>
    <xf numFmtId="0" fontId="2" fillId="0" borderId="15"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0" fillId="0" borderId="24" xfId="0" applyBorder="1" applyProtection="1">
      <protection locked="0"/>
    </xf>
    <xf numFmtId="164" fontId="5" fillId="0" borderId="35" xfId="0" applyNumberFormat="1" applyFont="1" applyBorder="1"/>
    <xf numFmtId="164" fontId="5" fillId="0" borderId="6" xfId="0" applyNumberFormat="1" applyFont="1" applyBorder="1"/>
    <xf numFmtId="0" fontId="0" fillId="0" borderId="36" xfId="0" applyBorder="1"/>
    <xf numFmtId="43" fontId="5" fillId="0" borderId="17" xfId="0" applyNumberFormat="1" applyFont="1" applyBorder="1"/>
    <xf numFmtId="43" fontId="5" fillId="0" borderId="4" xfId="0" applyNumberFormat="1" applyFont="1" applyBorder="1"/>
    <xf numFmtId="173" fontId="5" fillId="0" borderId="0" xfId="0" applyNumberFormat="1" applyFont="1"/>
    <xf numFmtId="169" fontId="2" fillId="0" borderId="0" xfId="59" quotePrefix="1" applyNumberFormat="1" applyFont="1" applyFill="1" applyProtection="1">
      <protection locked="0"/>
    </xf>
    <xf numFmtId="166" fontId="2" fillId="0" borderId="0" xfId="19" applyNumberFormat="1" applyFont="1" applyFill="1" applyBorder="1" applyProtection="1">
      <protection locked="0"/>
    </xf>
    <xf numFmtId="164" fontId="2" fillId="0" borderId="0" xfId="1" applyNumberFormat="1" applyFont="1" applyFill="1" applyBorder="1" applyProtection="1">
      <protection locked="0"/>
    </xf>
    <xf numFmtId="171" fontId="5" fillId="0" borderId="16" xfId="59" applyNumberFormat="1" applyFont="1" applyFill="1" applyBorder="1" applyProtection="1"/>
    <xf numFmtId="164" fontId="5" fillId="8" borderId="0" xfId="0" applyNumberFormat="1" applyFont="1" applyFill="1"/>
    <xf numFmtId="164" fontId="46" fillId="0" borderId="0" xfId="0" applyNumberFormat="1" applyFont="1" applyAlignment="1">
      <alignment horizontal="center" wrapText="1"/>
    </xf>
    <xf numFmtId="164" fontId="52" fillId="0" borderId="0" xfId="0" applyNumberFormat="1" applyFont="1" applyAlignment="1">
      <alignment horizontal="center"/>
    </xf>
    <xf numFmtId="166" fontId="41" fillId="0" borderId="27" xfId="0" applyNumberFormat="1" applyFont="1" applyBorder="1"/>
    <xf numFmtId="164" fontId="62" fillId="0" borderId="2" xfId="0" applyNumberFormat="1" applyFont="1" applyBorder="1" applyAlignment="1">
      <alignment horizontal="center"/>
    </xf>
    <xf numFmtId="164" fontId="52" fillId="0" borderId="2" xfId="0" applyNumberFormat="1" applyFont="1" applyBorder="1" applyAlignment="1">
      <alignment horizontal="center"/>
    </xf>
    <xf numFmtId="164" fontId="45" fillId="0" borderId="2" xfId="1" applyNumberFormat="1" applyFont="1" applyFill="1" applyBorder="1" applyAlignment="1" applyProtection="1">
      <alignment horizontal="center" wrapText="1"/>
    </xf>
    <xf numFmtId="171" fontId="45" fillId="0" borderId="16" xfId="59" applyNumberFormat="1" applyFont="1" applyFill="1" applyBorder="1" applyAlignment="1" applyProtection="1">
      <alignment horizontal="center" wrapText="1"/>
    </xf>
    <xf numFmtId="164" fontId="74" fillId="0" borderId="1" xfId="0" applyNumberFormat="1" applyFont="1" applyBorder="1"/>
    <xf numFmtId="171" fontId="45" fillId="0" borderId="34" xfId="59" applyNumberFormat="1" applyFont="1" applyFill="1" applyBorder="1" applyAlignment="1" applyProtection="1">
      <alignment horizontal="center" wrapText="1"/>
    </xf>
    <xf numFmtId="164" fontId="46" fillId="0" borderId="4" xfId="1" applyNumberFormat="1" applyFont="1" applyFill="1" applyBorder="1" applyAlignment="1" applyProtection="1">
      <alignment horizontal="center" wrapText="1"/>
    </xf>
    <xf numFmtId="0" fontId="62" fillId="0" borderId="4" xfId="0" applyFont="1" applyBorder="1" applyAlignment="1">
      <alignment horizontal="center"/>
    </xf>
    <xf numFmtId="169" fontId="46" fillId="0" borderId="18" xfId="59" applyNumberFormat="1" applyFont="1" applyFill="1" applyBorder="1" applyAlignment="1" applyProtection="1">
      <alignment horizontal="center" wrapText="1"/>
    </xf>
    <xf numFmtId="10" fontId="47" fillId="0" borderId="16" xfId="59" applyNumberFormat="1" applyFont="1" applyFill="1" applyBorder="1" applyAlignment="1" applyProtection="1">
      <alignment horizontal="right" wrapText="1"/>
    </xf>
    <xf numFmtId="172" fontId="45" fillId="0" borderId="16" xfId="1" applyNumberFormat="1" applyFont="1" applyFill="1" applyBorder="1" applyAlignment="1" applyProtection="1">
      <alignment horizontal="center" wrapText="1"/>
    </xf>
    <xf numFmtId="164" fontId="45" fillId="0" borderId="16" xfId="1" applyNumberFormat="1" applyFont="1" applyFill="1" applyBorder="1" applyAlignment="1" applyProtection="1">
      <alignment horizontal="center" wrapText="1"/>
    </xf>
    <xf numFmtId="164" fontId="45" fillId="0" borderId="18" xfId="1" applyNumberFormat="1" applyFont="1" applyFill="1" applyBorder="1" applyAlignment="1" applyProtection="1">
      <alignment horizontal="center" wrapText="1"/>
    </xf>
    <xf numFmtId="0" fontId="53" fillId="9" borderId="4" xfId="0" applyFont="1" applyFill="1" applyBorder="1" applyAlignment="1">
      <alignment horizontal="center" wrapText="1"/>
    </xf>
    <xf numFmtId="0" fontId="46" fillId="9" borderId="0" xfId="0" applyFont="1" applyFill="1" applyAlignment="1">
      <alignment horizontal="center" wrapText="1"/>
    </xf>
    <xf numFmtId="164" fontId="45" fillId="9" borderId="0" xfId="0" applyNumberFormat="1" applyFont="1" applyFill="1" applyAlignment="1">
      <alignment horizontal="center" wrapText="1"/>
    </xf>
    <xf numFmtId="164" fontId="45" fillId="9" borderId="0" xfId="1" applyNumberFormat="1" applyFont="1" applyFill="1" applyBorder="1" applyAlignment="1" applyProtection="1">
      <alignment horizontal="center" wrapText="1"/>
    </xf>
    <xf numFmtId="164" fontId="46" fillId="9" borderId="0" xfId="0" applyNumberFormat="1" applyFont="1" applyFill="1" applyAlignment="1">
      <alignment horizontal="center" wrapText="1"/>
    </xf>
    <xf numFmtId="164" fontId="46" fillId="9" borderId="2" xfId="1" applyNumberFormat="1" applyFont="1" applyFill="1" applyBorder="1" applyAlignment="1" applyProtection="1">
      <alignment horizontal="center" wrapText="1"/>
    </xf>
    <xf numFmtId="166" fontId="0" fillId="9" borderId="0" xfId="0" applyNumberFormat="1" applyFill="1"/>
    <xf numFmtId="166" fontId="0" fillId="9" borderId="4" xfId="0" applyNumberFormat="1" applyFill="1" applyBorder="1"/>
    <xf numFmtId="171" fontId="45" fillId="0" borderId="0" xfId="59" applyNumberFormat="1" applyFont="1" applyFill="1" applyBorder="1" applyAlignment="1" applyProtection="1">
      <alignment horizontal="center" wrapText="1"/>
    </xf>
    <xf numFmtId="164" fontId="45" fillId="0" borderId="1" xfId="1" applyNumberFormat="1" applyFont="1" applyFill="1" applyBorder="1" applyAlignment="1" applyProtection="1">
      <alignment horizontal="center" wrapText="1"/>
    </xf>
    <xf numFmtId="171" fontId="45" fillId="0" borderId="1" xfId="59" applyNumberFormat="1" applyFont="1" applyFill="1" applyBorder="1" applyAlignment="1" applyProtection="1">
      <alignment horizontal="center" wrapText="1"/>
    </xf>
    <xf numFmtId="169" fontId="46" fillId="0" borderId="4" xfId="59" applyNumberFormat="1" applyFont="1" applyFill="1" applyBorder="1" applyAlignment="1" applyProtection="1">
      <alignment horizontal="center" wrapText="1"/>
    </xf>
    <xf numFmtId="0" fontId="63" fillId="0" borderId="18" xfId="0" applyFont="1" applyBorder="1"/>
    <xf numFmtId="0" fontId="13" fillId="0" borderId="0" xfId="0" applyFont="1" applyAlignment="1">
      <alignment horizontal="right"/>
    </xf>
    <xf numFmtId="164" fontId="1" fillId="0" borderId="0" xfId="1" applyNumberFormat="1" applyFont="1" applyFill="1" applyProtection="1"/>
    <xf numFmtId="0" fontId="10" fillId="0" borderId="0" xfId="0" applyFont="1" applyAlignment="1">
      <alignment horizontal="right"/>
    </xf>
    <xf numFmtId="164" fontId="5" fillId="0" borderId="0" xfId="0" applyNumberFormat="1" applyFont="1" applyProtection="1">
      <protection locked="0"/>
    </xf>
    <xf numFmtId="172" fontId="5" fillId="0" borderId="0" xfId="0" applyNumberFormat="1" applyFont="1" applyProtection="1">
      <protection locked="0"/>
    </xf>
    <xf numFmtId="43" fontId="5" fillId="0" borderId="16" xfId="0" applyNumberFormat="1" applyFont="1" applyBorder="1" applyProtection="1">
      <protection locked="0"/>
    </xf>
    <xf numFmtId="0" fontId="76" fillId="0" borderId="1" xfId="71" applyFont="1" applyBorder="1" applyAlignment="1">
      <alignment horizontal="left" vertical="center"/>
    </xf>
    <xf numFmtId="0" fontId="3" fillId="0" borderId="0" xfId="71" applyFont="1" applyAlignment="1">
      <alignment horizontal="left" vertical="center"/>
    </xf>
    <xf numFmtId="0" fontId="3" fillId="0" borderId="1" xfId="71" applyFont="1" applyBorder="1" applyAlignment="1">
      <alignment horizontal="center"/>
    </xf>
    <xf numFmtId="0" fontId="48" fillId="0" borderId="1" xfId="71" applyFont="1" applyBorder="1" applyAlignment="1">
      <alignment horizontal="center"/>
    </xf>
    <xf numFmtId="0" fontId="64" fillId="0" borderId="31" xfId="0" applyFont="1" applyBorder="1" applyAlignment="1">
      <alignment horizontal="center" wrapText="1"/>
    </xf>
    <xf numFmtId="0" fontId="64" fillId="0" borderId="32" xfId="0" applyFont="1" applyBorder="1" applyAlignment="1">
      <alignment horizontal="center" wrapText="1"/>
    </xf>
    <xf numFmtId="0" fontId="15" fillId="0" borderId="0" xfId="57" applyFont="1" applyAlignment="1">
      <alignment horizontal="center"/>
    </xf>
    <xf numFmtId="0" fontId="21" fillId="0" borderId="0" xfId="57" applyFont="1" applyAlignment="1">
      <alignment horizontal="center"/>
    </xf>
    <xf numFmtId="0" fontId="19" fillId="0" borderId="0" xfId="0" applyFont="1" applyAlignment="1">
      <alignment horizontal="center" wrapText="1"/>
    </xf>
    <xf numFmtId="0" fontId="25" fillId="0" borderId="0" xfId="0" applyFont="1" applyAlignment="1">
      <alignment horizontal="left" vertical="top" wrapText="1"/>
    </xf>
    <xf numFmtId="0" fontId="24" fillId="0" borderId="0" xfId="58" applyFont="1" applyAlignment="1">
      <alignment vertical="top" wrapText="1"/>
    </xf>
    <xf numFmtId="0" fontId="42" fillId="0" borderId="0" xfId="0" applyFont="1" applyAlignment="1">
      <alignment vertical="top" wrapText="1"/>
    </xf>
    <xf numFmtId="0" fontId="42" fillId="0" borderId="4" xfId="0" applyFont="1" applyBorder="1" applyAlignment="1">
      <alignment vertical="top" wrapText="1"/>
    </xf>
    <xf numFmtId="166" fontId="45" fillId="0" borderId="15" xfId="0" applyNumberFormat="1" applyFont="1" applyBorder="1" applyAlignment="1">
      <alignment horizontal="left" vertical="center" wrapText="1"/>
    </xf>
    <xf numFmtId="166" fontId="45" fillId="0" borderId="0" xfId="0" applyNumberFormat="1" applyFont="1" applyAlignment="1">
      <alignment horizontal="left" vertical="center" wrapText="1"/>
    </xf>
    <xf numFmtId="0" fontId="52" fillId="0" borderId="23" xfId="0" applyFont="1" applyBorder="1" applyAlignment="1">
      <alignment horizontal="center"/>
    </xf>
    <xf numFmtId="0" fontId="52" fillId="0" borderId="24" xfId="0" applyFont="1" applyBorder="1" applyAlignment="1">
      <alignment horizontal="center"/>
    </xf>
    <xf numFmtId="0" fontId="52" fillId="0" borderId="25" xfId="0" applyFont="1" applyBorder="1" applyAlignment="1">
      <alignment horizontal="center"/>
    </xf>
    <xf numFmtId="0" fontId="52" fillId="0" borderId="15" xfId="0" applyFont="1" applyBorder="1" applyAlignment="1">
      <alignment horizontal="center"/>
    </xf>
    <xf numFmtId="0" fontId="52" fillId="0" borderId="0" xfId="0" applyFont="1" applyAlignment="1">
      <alignment horizontal="center"/>
    </xf>
    <xf numFmtId="0" fontId="52" fillId="0" borderId="16" xfId="0" applyFont="1" applyBorder="1" applyAlignment="1">
      <alignment horizontal="center"/>
    </xf>
    <xf numFmtId="0" fontId="51" fillId="4" borderId="29" xfId="0" applyFont="1" applyFill="1" applyBorder="1" applyAlignment="1">
      <alignment horizontal="center"/>
    </xf>
    <xf numFmtId="0" fontId="51" fillId="4" borderId="30" xfId="0" applyFont="1" applyFill="1" applyBorder="1" applyAlignment="1">
      <alignment horizontal="center"/>
    </xf>
    <xf numFmtId="0" fontId="51" fillId="4" borderId="26" xfId="0" applyFont="1" applyFill="1" applyBorder="1" applyAlignment="1">
      <alignment horizontal="center"/>
    </xf>
    <xf numFmtId="0" fontId="51" fillId="4" borderId="29" xfId="0" applyFont="1" applyFill="1" applyBorder="1" applyAlignment="1">
      <alignment horizontal="center" wrapText="1"/>
    </xf>
    <xf numFmtId="0" fontId="51" fillId="4" borderId="30" xfId="0" applyFont="1" applyFill="1" applyBorder="1" applyAlignment="1">
      <alignment horizontal="center" wrapText="1"/>
    </xf>
    <xf numFmtId="0" fontId="51" fillId="4" borderId="26" xfId="0" applyFont="1" applyFill="1" applyBorder="1" applyAlignment="1">
      <alignment horizontal="center" wrapText="1"/>
    </xf>
    <xf numFmtId="166" fontId="45" fillId="0" borderId="17" xfId="0" applyNumberFormat="1" applyFont="1" applyBorder="1" applyAlignment="1">
      <alignment horizontal="left" vertical="center" wrapText="1"/>
    </xf>
    <xf numFmtId="166" fontId="45" fillId="0" borderId="4" xfId="0" applyNumberFormat="1" applyFont="1" applyBorder="1" applyAlignment="1">
      <alignment horizontal="left" vertical="center" wrapText="1"/>
    </xf>
    <xf numFmtId="0" fontId="42" fillId="0" borderId="0" xfId="0" applyFont="1" applyAlignment="1">
      <alignment wrapText="1"/>
    </xf>
    <xf numFmtId="0" fontId="59" fillId="4" borderId="29" xfId="0" applyFont="1" applyFill="1" applyBorder="1" applyAlignment="1">
      <alignment horizontal="center" wrapText="1"/>
    </xf>
    <xf numFmtId="0" fontId="59" fillId="4" borderId="30" xfId="0" applyFont="1" applyFill="1" applyBorder="1" applyAlignment="1">
      <alignment horizontal="center" wrapText="1"/>
    </xf>
    <xf numFmtId="0" fontId="59" fillId="4" borderId="26" xfId="0" applyFont="1" applyFill="1" applyBorder="1" applyAlignment="1">
      <alignment horizontal="center" wrapText="1"/>
    </xf>
    <xf numFmtId="41" fontId="3" fillId="0" borderId="4" xfId="0" applyNumberFormat="1" applyFont="1" applyBorder="1" applyAlignment="1">
      <alignment horizontal="center" wrapText="1"/>
    </xf>
    <xf numFmtId="0" fontId="56" fillId="0" borderId="0" xfId="0" applyFont="1" applyAlignment="1">
      <alignment vertical="top" wrapText="1"/>
    </xf>
    <xf numFmtId="0" fontId="8" fillId="0" borderId="0" xfId="0" applyFont="1" applyAlignment="1">
      <alignment horizontal="center"/>
    </xf>
    <xf numFmtId="0" fontId="3" fillId="0" borderId="29" xfId="54" applyFont="1" applyBorder="1" applyAlignment="1">
      <alignment horizontal="center"/>
    </xf>
    <xf numFmtId="0" fontId="3" fillId="0" borderId="30" xfId="54" applyFont="1" applyBorder="1" applyAlignment="1">
      <alignment horizontal="center"/>
    </xf>
    <xf numFmtId="0" fontId="3" fillId="0" borderId="26" xfId="54" applyFont="1" applyBorder="1" applyAlignment="1">
      <alignment horizontal="center"/>
    </xf>
    <xf numFmtId="0" fontId="48" fillId="0" borderId="0" xfId="54" applyFont="1" applyAlignment="1">
      <alignment vertical="top" wrapText="1"/>
    </xf>
    <xf numFmtId="0" fontId="49" fillId="0" borderId="29" xfId="54" applyFont="1" applyBorder="1" applyAlignment="1">
      <alignment horizontal="center"/>
    </xf>
    <xf numFmtId="0" fontId="49" fillId="0" borderId="30" xfId="54" applyFont="1" applyBorder="1" applyAlignment="1">
      <alignment horizontal="center"/>
    </xf>
    <xf numFmtId="0" fontId="49" fillId="0" borderId="26" xfId="54" applyFont="1" applyBorder="1" applyAlignment="1">
      <alignment horizontal="center"/>
    </xf>
    <xf numFmtId="0" fontId="3" fillId="0" borderId="0" xfId="54" applyFont="1" applyAlignment="1">
      <alignment horizontal="center" vertic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26" xfId="0" applyFont="1" applyBorder="1" applyAlignment="1">
      <alignment horizontal="center"/>
    </xf>
    <xf numFmtId="0" fontId="32" fillId="0" borderId="0" xfId="0" applyFont="1" applyAlignment="1">
      <alignment horizontal="center" wrapText="1"/>
    </xf>
    <xf numFmtId="0" fontId="32" fillId="0" borderId="16" xfId="0" applyFont="1" applyBorder="1" applyAlignment="1">
      <alignment horizontal="center"/>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26" xfId="0" applyFont="1" applyBorder="1" applyAlignment="1">
      <alignment horizontal="center" wrapText="1"/>
    </xf>
    <xf numFmtId="0" fontId="5" fillId="0" borderId="15" xfId="0" applyFont="1" applyBorder="1" applyAlignment="1">
      <alignment horizontal="left" wrapText="1" indent="2"/>
    </xf>
    <xf numFmtId="0" fontId="8" fillId="0" borderId="24" xfId="0" applyFont="1" applyBorder="1" applyAlignment="1">
      <alignment horizontal="center" wrapText="1"/>
    </xf>
    <xf numFmtId="0" fontId="8" fillId="0" borderId="0" xfId="0" applyFont="1" applyAlignment="1">
      <alignment horizontal="center" wrapText="1"/>
    </xf>
    <xf numFmtId="49" fontId="52" fillId="0" borderId="23" xfId="0" applyNumberFormat="1" applyFont="1" applyBorder="1" applyAlignment="1">
      <alignment horizontal="center"/>
    </xf>
    <xf numFmtId="49" fontId="52" fillId="0" borderId="24" xfId="0" applyNumberFormat="1" applyFont="1" applyBorder="1" applyAlignment="1">
      <alignment horizontal="center"/>
    </xf>
    <xf numFmtId="49" fontId="52" fillId="0" borderId="25" xfId="0" applyNumberFormat="1" applyFont="1" applyBorder="1" applyAlignment="1">
      <alignment horizontal="center"/>
    </xf>
    <xf numFmtId="49" fontId="52" fillId="0" borderId="15" xfId="0" applyNumberFormat="1" applyFont="1" applyBorder="1" applyAlignment="1">
      <alignment horizontal="center"/>
    </xf>
    <xf numFmtId="49" fontId="52" fillId="0" borderId="0" xfId="0" applyNumberFormat="1" applyFont="1" applyAlignment="1">
      <alignment horizontal="center"/>
    </xf>
    <xf numFmtId="49" fontId="52" fillId="0" borderId="16" xfId="0" applyNumberFormat="1" applyFont="1" applyBorder="1" applyAlignment="1">
      <alignment horizontal="center"/>
    </xf>
    <xf numFmtId="0" fontId="60" fillId="4" borderId="29" xfId="0" applyFont="1" applyFill="1" applyBorder="1" applyAlignment="1">
      <alignment horizontal="center"/>
    </xf>
    <xf numFmtId="0" fontId="60" fillId="4" borderId="30" xfId="0" applyFont="1" applyFill="1" applyBorder="1" applyAlignment="1">
      <alignment horizontal="center"/>
    </xf>
    <xf numFmtId="0" fontId="60" fillId="4" borderId="26" xfId="0" applyFont="1" applyFill="1" applyBorder="1" applyAlignment="1">
      <alignment horizontal="center"/>
    </xf>
    <xf numFmtId="0" fontId="60" fillId="4" borderId="29" xfId="0" applyFont="1" applyFill="1" applyBorder="1" applyAlignment="1">
      <alignment horizontal="center" wrapText="1"/>
    </xf>
    <xf numFmtId="0" fontId="60" fillId="4" borderId="30" xfId="0" applyFont="1" applyFill="1" applyBorder="1" applyAlignment="1">
      <alignment horizontal="center" wrapText="1"/>
    </xf>
    <xf numFmtId="0" fontId="60" fillId="4" borderId="26" xfId="0" applyFont="1" applyFill="1" applyBorder="1" applyAlignment="1">
      <alignment horizontal="center" wrapText="1"/>
    </xf>
    <xf numFmtId="0" fontId="8" fillId="0" borderId="25" xfId="0" applyFont="1" applyBorder="1" applyAlignment="1">
      <alignment horizontal="center" wrapText="1"/>
    </xf>
    <xf numFmtId="0" fontId="8" fillId="0" borderId="16" xfId="0" applyFont="1" applyBorder="1" applyAlignment="1">
      <alignment horizontal="center" wrapText="1"/>
    </xf>
    <xf numFmtId="0" fontId="1" fillId="0" borderId="0" xfId="0" applyFont="1" applyAlignment="1">
      <alignment horizontal="left" vertical="top" wrapText="1"/>
    </xf>
    <xf numFmtId="0" fontId="0" fillId="0" borderId="0" xfId="0" applyAlignment="1">
      <alignment horizontal="left" vertical="top" wrapText="1"/>
    </xf>
    <xf numFmtId="0" fontId="8" fillId="0" borderId="1" xfId="0" applyFont="1" applyBorder="1" applyAlignment="1">
      <alignment horizontal="center"/>
    </xf>
    <xf numFmtId="0" fontId="61" fillId="0" borderId="0" xfId="0" applyFont="1" applyAlignment="1">
      <alignment horizontal="left"/>
    </xf>
    <xf numFmtId="0" fontId="8" fillId="0" borderId="0" xfId="54" applyFont="1" applyAlignment="1">
      <alignment horizontal="center" vertical="center"/>
    </xf>
    <xf numFmtId="0" fontId="10" fillId="0" borderId="0" xfId="54" applyFont="1" applyAlignment="1">
      <alignment horizontal="left"/>
    </xf>
    <xf numFmtId="37" fontId="2" fillId="0" borderId="0" xfId="54" applyNumberFormat="1" applyFont="1" applyAlignment="1">
      <alignment vertical="top" wrapText="1"/>
    </xf>
    <xf numFmtId="0" fontId="1" fillId="0" borderId="0" xfId="54" applyAlignment="1">
      <alignment horizontal="center" wrapText="1"/>
    </xf>
    <xf numFmtId="165" fontId="3" fillId="0" borderId="0" xfId="54" applyNumberFormat="1" applyFont="1" applyAlignment="1">
      <alignment horizontal="center"/>
    </xf>
    <xf numFmtId="165" fontId="3" fillId="0" borderId="0" xfId="54" applyNumberFormat="1" applyFont="1" applyAlignment="1">
      <alignment horizontal="left"/>
    </xf>
    <xf numFmtId="37" fontId="3" fillId="0" borderId="0" xfId="54" applyNumberFormat="1" applyFont="1" applyAlignment="1">
      <alignment horizontal="center"/>
    </xf>
  </cellXfs>
  <cellStyles count="75">
    <cellStyle name="Comma" xfId="1" builtinId="3"/>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2 4" xfId="6" xr:uid="{00000000-0005-0000-0000-000005000000}"/>
    <cellStyle name="Comma 3" xfId="7" xr:uid="{00000000-0005-0000-0000-000006000000}"/>
    <cellStyle name="Comma 3 2" xfId="8" xr:uid="{00000000-0005-0000-0000-000007000000}"/>
    <cellStyle name="Comma 3 3" xfId="9" xr:uid="{00000000-0005-0000-0000-000008000000}"/>
    <cellStyle name="Comma 3 3 2" xfId="10" xr:uid="{00000000-0005-0000-0000-000009000000}"/>
    <cellStyle name="Comma 3 4" xfId="11" xr:uid="{00000000-0005-0000-0000-00000A000000}"/>
    <cellStyle name="Comma 3 5" xfId="12" xr:uid="{00000000-0005-0000-0000-00000B000000}"/>
    <cellStyle name="Comma 4" xfId="13" xr:uid="{00000000-0005-0000-0000-00000C000000}"/>
    <cellStyle name="Comma 4 2" xfId="14" xr:uid="{00000000-0005-0000-0000-00000D000000}"/>
    <cellStyle name="Comma 5" xfId="15" xr:uid="{00000000-0005-0000-0000-00000E000000}"/>
    <cellStyle name="Comma 5 2" xfId="16" xr:uid="{00000000-0005-0000-0000-00000F000000}"/>
    <cellStyle name="Comma 6" xfId="17" xr:uid="{00000000-0005-0000-0000-000010000000}"/>
    <cellStyle name="Comma 7" xfId="18" xr:uid="{00000000-0005-0000-0000-000011000000}"/>
    <cellStyle name="Comma 8" xfId="74" xr:uid="{1FF56B27-ABD2-4CA4-9901-1879AF53C272}"/>
    <cellStyle name="Currency" xfId="19" builtinId="4"/>
    <cellStyle name="Currency 2" xfId="20" xr:uid="{00000000-0005-0000-0000-000013000000}"/>
    <cellStyle name="Currency 2 2" xfId="21" xr:uid="{00000000-0005-0000-0000-000014000000}"/>
    <cellStyle name="Currency 2 2 2" xfId="22" xr:uid="{00000000-0005-0000-0000-000015000000}"/>
    <cellStyle name="Currency 2 3" xfId="23" xr:uid="{00000000-0005-0000-0000-000016000000}"/>
    <cellStyle name="Currency 2 3 2" xfId="24" xr:uid="{00000000-0005-0000-0000-000017000000}"/>
    <cellStyle name="Currency 2 4" xfId="25" xr:uid="{00000000-0005-0000-0000-000018000000}"/>
    <cellStyle name="Currency 2 5" xfId="26" xr:uid="{00000000-0005-0000-0000-000019000000}"/>
    <cellStyle name="Currency 3" xfId="27" xr:uid="{00000000-0005-0000-0000-00001A000000}"/>
    <cellStyle name="Currency 4" xfId="28" xr:uid="{00000000-0005-0000-0000-00001B000000}"/>
    <cellStyle name="Currency 4 2" xfId="29" xr:uid="{00000000-0005-0000-0000-00001C000000}"/>
    <cellStyle name="Currency 4 3" xfId="30" xr:uid="{00000000-0005-0000-0000-00001D000000}"/>
    <cellStyle name="Currency 4 3 2" xfId="31" xr:uid="{00000000-0005-0000-0000-00001E000000}"/>
    <cellStyle name="Currency 5" xfId="32" xr:uid="{00000000-0005-0000-0000-00001F000000}"/>
    <cellStyle name="Currency 5 2" xfId="33" xr:uid="{00000000-0005-0000-0000-000020000000}"/>
    <cellStyle name="Currency 6" xfId="34" xr:uid="{00000000-0005-0000-0000-000021000000}"/>
    <cellStyle name="Currency 6 2" xfId="35" xr:uid="{00000000-0005-0000-0000-000022000000}"/>
    <cellStyle name="Currency 7" xfId="36" xr:uid="{00000000-0005-0000-0000-000023000000}"/>
    <cellStyle name="Currency 8" xfId="73" xr:uid="{F7B34C13-BB58-4E6E-8231-965C948A4BDE}"/>
    <cellStyle name="Normal" xfId="0" builtinId="0"/>
    <cellStyle name="Normal 10" xfId="71" xr:uid="{19A1FA0C-BEEA-4557-B076-070FF11F8C97}"/>
    <cellStyle name="Normal 2" xfId="37" xr:uid="{00000000-0005-0000-0000-000025000000}"/>
    <cellStyle name="Normal 2 2" xfId="38" xr:uid="{00000000-0005-0000-0000-000026000000}"/>
    <cellStyle name="Normal 2 2 2" xfId="39" xr:uid="{00000000-0005-0000-0000-000027000000}"/>
    <cellStyle name="Normal 2 3" xfId="40" xr:uid="{00000000-0005-0000-0000-000028000000}"/>
    <cellStyle name="Normal 2 3 2" xfId="41" xr:uid="{00000000-0005-0000-0000-000029000000}"/>
    <cellStyle name="Normal 2 4" xfId="42" xr:uid="{00000000-0005-0000-0000-00002A000000}"/>
    <cellStyle name="Normal 2 5" xfId="43" xr:uid="{00000000-0005-0000-0000-00002B000000}"/>
    <cellStyle name="Normal 3" xfId="44" xr:uid="{00000000-0005-0000-0000-00002C000000}"/>
    <cellStyle name="Normal 4" xfId="45" xr:uid="{00000000-0005-0000-0000-00002D000000}"/>
    <cellStyle name="Normal 4 2" xfId="46" xr:uid="{00000000-0005-0000-0000-00002E000000}"/>
    <cellStyle name="Normal 4 3" xfId="47" xr:uid="{00000000-0005-0000-0000-00002F000000}"/>
    <cellStyle name="Normal 4 4" xfId="48" xr:uid="{00000000-0005-0000-0000-000030000000}"/>
    <cellStyle name="Normal 4 4 2" xfId="49" xr:uid="{00000000-0005-0000-0000-000031000000}"/>
    <cellStyle name="Normal 5" xfId="50" xr:uid="{00000000-0005-0000-0000-000032000000}"/>
    <cellStyle name="Normal 5 2" xfId="51" xr:uid="{00000000-0005-0000-0000-000033000000}"/>
    <cellStyle name="Normal 5 4" xfId="52" xr:uid="{00000000-0005-0000-0000-000034000000}"/>
    <cellStyle name="Normal 6" xfId="53" xr:uid="{00000000-0005-0000-0000-000035000000}"/>
    <cellStyle name="Normal 7" xfId="54" xr:uid="{00000000-0005-0000-0000-000036000000}"/>
    <cellStyle name="Normal 8" xfId="55" xr:uid="{00000000-0005-0000-0000-000037000000}"/>
    <cellStyle name="Normal 9" xfId="56" xr:uid="{00000000-0005-0000-0000-000038000000}"/>
    <cellStyle name="Normal_Sheet1" xfId="57" xr:uid="{00000000-0005-0000-0000-000039000000}"/>
    <cellStyle name="Normal_Sheet1 2" xfId="58" xr:uid="{00000000-0005-0000-0000-00003A000000}"/>
    <cellStyle name="Percent" xfId="59" builtinId="5"/>
    <cellStyle name="Percent 2" xfId="60" xr:uid="{00000000-0005-0000-0000-00003C000000}"/>
    <cellStyle name="Percent 2 2" xfId="61" xr:uid="{00000000-0005-0000-0000-00003D000000}"/>
    <cellStyle name="Percent 2 3" xfId="62" xr:uid="{00000000-0005-0000-0000-00003E000000}"/>
    <cellStyle name="Percent 2 3 2" xfId="63" xr:uid="{00000000-0005-0000-0000-00003F000000}"/>
    <cellStyle name="Percent 2 4" xfId="64" xr:uid="{00000000-0005-0000-0000-000040000000}"/>
    <cellStyle name="Percent 3" xfId="65" xr:uid="{00000000-0005-0000-0000-000041000000}"/>
    <cellStyle name="Percent 3 2" xfId="66" xr:uid="{00000000-0005-0000-0000-000042000000}"/>
    <cellStyle name="Percent 4" xfId="67" xr:uid="{00000000-0005-0000-0000-000043000000}"/>
    <cellStyle name="Percent 4 2" xfId="68" xr:uid="{00000000-0005-0000-0000-000044000000}"/>
    <cellStyle name="Percent 5" xfId="69" xr:uid="{00000000-0005-0000-0000-000045000000}"/>
    <cellStyle name="Percent 6" xfId="70" xr:uid="{00000000-0005-0000-0000-000046000000}"/>
    <cellStyle name="Percent 7" xfId="72" xr:uid="{419E189C-2D13-4E2A-BB9F-73813A7EC7D7}"/>
  </cellStyles>
  <dxfs count="2">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FINANCE\FINSTMTS\2023-24\GASB%2075%20Template%2024.xlsx" TargetMode="External"/><Relationship Id="rId1" Type="http://schemas.openxmlformats.org/officeDocument/2006/relationships/externalLinkPath" Target="/FINANCE/FINSTMTS/2023-24/GASB%2075%20Template%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ial%20Statement%20Templat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Amortization"/>
      <sheetName val="GASB 75 JEs"/>
      <sheetName val="Sheet3"/>
      <sheetName val="GASB 75 Sch Input CY"/>
      <sheetName val="CY Schedule Calcs"/>
      <sheetName val="GASB 75 Sch Input PY "/>
      <sheetName val="Amortization Input CY"/>
      <sheetName val="OPEB Contr Input - LEA"/>
      <sheetName val="OPEB Contr Input - RESA"/>
      <sheetName val="OPEB Contr Input - MCVC"/>
      <sheetName val="RESA Proportion"/>
      <sheetName val="MCVC Proportion"/>
      <sheetName val="Summary of GASB 75 Activity"/>
      <sheetName val="Change in Proportion - LEAs"/>
      <sheetName val="Change in Proportion - RESAs"/>
      <sheetName val="Change in Proportion - MCVCs"/>
      <sheetName val="Net LEA Amounts"/>
      <sheetName val="GASB 75 State Aid Support"/>
      <sheetName val="Notes Section"/>
      <sheetName val="NOL Assoc. w LEA"/>
      <sheetName val="OPEB Deferred In_outflows"/>
      <sheetName val="Amort. of Def. Amounts"/>
      <sheetName val="Sensitivity Analysis Discount"/>
      <sheetName val="Sensitivity Analysis Healthcare"/>
      <sheetName val="Prop Share of NOL"/>
      <sheetName val="Schedule of District Contrib"/>
    </sheetNames>
    <sheetDataSet>
      <sheetData sheetId="0"/>
      <sheetData sheetId="1"/>
      <sheetData sheetId="2">
        <row r="1">
          <cell r="A1" t="str">
            <v>LEA</v>
          </cell>
        </row>
        <row r="3">
          <cell r="A3" t="str">
            <v>MCVC</v>
          </cell>
        </row>
      </sheetData>
      <sheetData sheetId="3"/>
      <sheetData sheetId="4"/>
      <sheetData sheetId="5"/>
      <sheetData sheetId="6"/>
      <sheetData sheetId="7"/>
      <sheetData sheetId="8"/>
      <sheetData sheetId="9"/>
      <sheetData sheetId="10"/>
      <sheetData sheetId="11"/>
      <sheetData sheetId="12">
        <row r="48">
          <cell r="I48">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amp;A Section"/>
      <sheetName val="MD&amp;A DW-Net Position"/>
      <sheetName val="MD&amp;A DW-Act"/>
      <sheetName val="MD&amp;A Cap Assets"/>
      <sheetName val="MD&amp;A ROU Assets"/>
      <sheetName val="MD&amp;A Gen Obligation"/>
      <sheetName val="Basic Stmts"/>
      <sheetName val="DW Net Position"/>
      <sheetName val="DW St of Activities"/>
      <sheetName val="Gov Funds - Bal Sheet"/>
      <sheetName val="Gov Funds - Rev-Exp"/>
      <sheetName val="Recon Activities"/>
      <sheetName val="Fiduciary Funds Net Position"/>
      <sheetName val="Changes in Fiduc. Net Position"/>
      <sheetName val="Notes Section"/>
      <sheetName val="Notes - Fund Balance"/>
      <sheetName val="Capital Assets"/>
      <sheetName val="Notes - Cap Assets &amp; Dep."/>
      <sheetName val="ROU Assets"/>
      <sheetName val="Notes - ROU Assets &amp; Amort."/>
      <sheetName val="long term debt"/>
      <sheetName val="Restatement of Beg Net Position"/>
      <sheetName val="RSI Section"/>
      <sheetName val="Budgetary Comp Sch - Gen"/>
      <sheetName val="Budgetary Comp Sch - Sp Rev"/>
      <sheetName val="Budgetary Comp Sch - SAF"/>
      <sheetName val="Budgetary Comp - Sp Rev ESSERF"/>
      <sheetName val="OSI"/>
      <sheetName val="Budgetary Comp - Debt Svc"/>
      <sheetName val="Budgetary Comp - Bond Constr31"/>
      <sheetName val="Budgetary Comp-Perm Improve"/>
      <sheetName val="Budgetary Comp-Cap Project51"/>
      <sheetName val="Excess Levy Rev &amp; Exp"/>
      <sheetName val="Changes in School Funds"/>
      <sheetName val="SEFA"/>
      <sheetName val="SAGA"/>
      <sheetName val="Workpapers Section"/>
      <sheetName val="TrialBal"/>
      <sheetName val="JEs"/>
      <sheetName val="Sheet3"/>
      <sheetName val="Rev Alloc"/>
      <sheetName val="Rev Check"/>
      <sheetName val="Encumbrance Distribution"/>
    </sheetNames>
    <sheetDataSet>
      <sheetData sheetId="0"/>
      <sheetData sheetId="1"/>
      <sheetData sheetId="2"/>
      <sheetData sheetId="3"/>
      <sheetData sheetId="4"/>
      <sheetData sheetId="5"/>
      <sheetData sheetId="6"/>
      <sheetData sheetId="7">
        <row r="45">
          <cell r="C45">
            <v>0</v>
          </cell>
        </row>
        <row r="82">
          <cell r="C82">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F10F-B0A4-4C96-8AE4-C6C885C624B0}">
  <sheetPr>
    <tabColor theme="5" tint="0.39997558519241921"/>
  </sheetPr>
  <dimension ref="A1:AQ203"/>
  <sheetViews>
    <sheetView topLeftCell="C1" workbookViewId="0">
      <selection activeCell="AV11" sqref="AV11"/>
    </sheetView>
  </sheetViews>
  <sheetFormatPr defaultColWidth="7.109375" defaultRowHeight="12.75" x14ac:dyDescent="0.2"/>
  <cols>
    <col min="1" max="1" width="28" style="486" hidden="1" customWidth="1"/>
    <col min="2" max="2" width="1.44140625" style="487" hidden="1" customWidth="1"/>
    <col min="3" max="3" width="40.5546875" style="488" customWidth="1"/>
    <col min="4" max="4" width="13.88671875" style="488" hidden="1" customWidth="1"/>
    <col min="5" max="5" width="1.21875" style="488" hidden="1" customWidth="1"/>
    <col min="6" max="6" width="13.6640625" style="488" hidden="1" customWidth="1"/>
    <col min="7" max="7" width="1.21875" style="488" hidden="1" customWidth="1"/>
    <col min="8" max="8" width="13.6640625" style="488" hidden="1" customWidth="1"/>
    <col min="9" max="9" width="1.21875" style="488" hidden="1" customWidth="1"/>
    <col min="10" max="10" width="12.5546875" style="488" hidden="1" customWidth="1"/>
    <col min="11" max="11" width="1.21875" style="487" hidden="1" customWidth="1"/>
    <col min="12" max="12" width="12.33203125" style="488" hidden="1" customWidth="1"/>
    <col min="13" max="13" width="1.21875" style="488" hidden="1" customWidth="1"/>
    <col min="14" max="14" width="12.33203125" style="488" hidden="1" customWidth="1"/>
    <col min="15" max="15" width="1.21875" style="488" hidden="1" customWidth="1"/>
    <col min="16" max="16" width="12.33203125" style="488" hidden="1" customWidth="1"/>
    <col min="17" max="17" width="1.21875" style="487" hidden="1" customWidth="1"/>
    <col min="18" max="18" width="12.88671875" style="488" hidden="1" customWidth="1"/>
    <col min="19" max="19" width="1.21875" style="487" hidden="1" customWidth="1"/>
    <col min="20" max="20" width="13.77734375" style="488" hidden="1" customWidth="1"/>
    <col min="21" max="21" width="1.21875" style="487" hidden="1" customWidth="1"/>
    <col min="22" max="22" width="12.109375" style="488" hidden="1" customWidth="1"/>
    <col min="23" max="23" width="1.21875" style="487" hidden="1" customWidth="1"/>
    <col min="24" max="24" width="16.21875" style="488" hidden="1" customWidth="1"/>
    <col min="25" max="25" width="1.21875" style="487" hidden="1" customWidth="1"/>
    <col min="26" max="26" width="13.5546875" style="487" customWidth="1"/>
    <col min="27" max="27" width="1.21875" style="487" hidden="1" customWidth="1"/>
    <col min="28" max="28" width="13.5546875" style="487" hidden="1" customWidth="1"/>
    <col min="29" max="29" width="1.21875" style="487" hidden="1" customWidth="1"/>
    <col min="30" max="30" width="13.5546875" style="488" hidden="1" customWidth="1"/>
    <col min="31" max="36" width="12.44140625" style="457" hidden="1" customWidth="1"/>
    <col min="37" max="37" width="12.88671875" style="457" hidden="1" customWidth="1"/>
    <col min="38" max="42" width="12.44140625" style="457" hidden="1" customWidth="1"/>
    <col min="43" max="16384" width="7.109375" style="457"/>
  </cols>
  <sheetData>
    <row r="1" spans="1:43" x14ac:dyDescent="0.2">
      <c r="B1" s="486"/>
      <c r="C1" s="489" t="s">
        <v>355</v>
      </c>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row>
    <row r="2" spans="1:43" x14ac:dyDescent="0.2">
      <c r="B2" s="486"/>
      <c r="C2" s="489" t="s">
        <v>584</v>
      </c>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row>
    <row r="3" spans="1:43" x14ac:dyDescent="0.2">
      <c r="B3" s="486"/>
      <c r="C3" s="489" t="s">
        <v>574</v>
      </c>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row>
    <row r="4" spans="1:43" x14ac:dyDescent="0.2">
      <c r="A4" s="587"/>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P4" s="458"/>
    </row>
    <row r="5" spans="1:43" s="459" customFormat="1" x14ac:dyDescent="0.2">
      <c r="A5" s="588"/>
      <c r="B5" s="588"/>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1:43" s="459" customFormat="1" ht="13.5" customHeight="1" x14ac:dyDescent="0.2">
      <c r="A6" s="460"/>
      <c r="B6" s="461"/>
      <c r="C6" s="462"/>
      <c r="D6" s="463"/>
      <c r="E6" s="589" t="s">
        <v>10</v>
      </c>
      <c r="F6" s="589"/>
      <c r="G6" s="589"/>
      <c r="H6" s="589"/>
      <c r="I6" s="589"/>
      <c r="J6" s="589"/>
      <c r="K6" s="461"/>
      <c r="L6" s="589" t="s">
        <v>11</v>
      </c>
      <c r="M6" s="589"/>
      <c r="N6" s="589"/>
      <c r="O6" s="589"/>
      <c r="P6" s="589"/>
      <c r="Q6" s="589"/>
      <c r="R6" s="589"/>
      <c r="S6" s="589"/>
      <c r="T6" s="589"/>
      <c r="U6" s="464"/>
      <c r="V6" s="589" t="s">
        <v>294</v>
      </c>
      <c r="W6" s="589"/>
      <c r="X6" s="589"/>
      <c r="Y6" s="589"/>
      <c r="Z6" s="589"/>
      <c r="AA6" s="589"/>
      <c r="AB6" s="589"/>
      <c r="AC6" s="589"/>
      <c r="AD6" s="589"/>
      <c r="AF6" s="590" t="s">
        <v>585</v>
      </c>
      <c r="AG6" s="590"/>
      <c r="AH6" s="590"/>
      <c r="AI6" s="590"/>
      <c r="AJ6" s="590"/>
      <c r="AK6" s="590"/>
      <c r="AL6" s="590"/>
      <c r="AM6" s="590"/>
      <c r="AN6" s="590"/>
      <c r="AO6" s="590"/>
      <c r="AP6" s="590"/>
    </row>
    <row r="7" spans="1:43" s="459" customFormat="1" ht="33.75" customHeight="1" x14ac:dyDescent="0.2">
      <c r="A7" s="465" t="s">
        <v>586</v>
      </c>
      <c r="B7" s="461"/>
      <c r="C7" s="466" t="s">
        <v>358</v>
      </c>
      <c r="D7" s="467" t="s">
        <v>573</v>
      </c>
      <c r="E7" s="468"/>
      <c r="F7" s="469" t="s">
        <v>185</v>
      </c>
      <c r="G7" s="468"/>
      <c r="H7" s="469" t="s">
        <v>247</v>
      </c>
      <c r="I7" s="468"/>
      <c r="J7" s="467" t="s">
        <v>89</v>
      </c>
      <c r="K7" s="470"/>
      <c r="L7" s="469" t="s">
        <v>587</v>
      </c>
      <c r="M7" s="468"/>
      <c r="N7" s="469" t="s">
        <v>247</v>
      </c>
      <c r="O7" s="469"/>
      <c r="P7" s="469" t="s">
        <v>588</v>
      </c>
      <c r="Q7" s="470"/>
      <c r="R7" s="469" t="s">
        <v>185</v>
      </c>
      <c r="S7" s="470"/>
      <c r="T7" s="469" t="s">
        <v>90</v>
      </c>
      <c r="U7" s="470"/>
      <c r="V7" s="469" t="s">
        <v>332</v>
      </c>
      <c r="W7" s="470"/>
      <c r="X7" s="469" t="s">
        <v>186</v>
      </c>
      <c r="Y7" s="470"/>
      <c r="Z7" s="469" t="s">
        <v>478</v>
      </c>
      <c r="AA7" s="468"/>
      <c r="AB7" s="469" t="s">
        <v>589</v>
      </c>
      <c r="AC7" s="470"/>
      <c r="AD7" s="469" t="s">
        <v>338</v>
      </c>
      <c r="AE7" s="466" t="s">
        <v>590</v>
      </c>
      <c r="AF7" s="466" t="s">
        <v>591</v>
      </c>
      <c r="AG7" s="466" t="s">
        <v>592</v>
      </c>
      <c r="AH7" s="466" t="s">
        <v>593</v>
      </c>
      <c r="AI7" s="466" t="s">
        <v>594</v>
      </c>
      <c r="AJ7" s="466" t="s">
        <v>595</v>
      </c>
      <c r="AK7" s="466" t="s">
        <v>596</v>
      </c>
      <c r="AL7" s="466" t="s">
        <v>597</v>
      </c>
      <c r="AM7" s="466" t="s">
        <v>598</v>
      </c>
      <c r="AN7" s="466" t="s">
        <v>599</v>
      </c>
      <c r="AO7" s="466" t="s">
        <v>600</v>
      </c>
      <c r="AP7" s="466" t="s">
        <v>601</v>
      </c>
    </row>
    <row r="8" spans="1:43" s="459" customFormat="1" ht="13.7" customHeight="1" x14ac:dyDescent="0.2">
      <c r="A8" s="471">
        <v>800010005</v>
      </c>
      <c r="B8" s="472"/>
      <c r="C8" s="461" t="s">
        <v>602</v>
      </c>
      <c r="D8" s="473">
        <v>-51890.146523241623</v>
      </c>
      <c r="E8" s="474"/>
      <c r="F8" s="473">
        <v>37301.446950113619</v>
      </c>
      <c r="G8" s="473"/>
      <c r="H8" s="473">
        <v>14308.270478802469</v>
      </c>
      <c r="I8" s="473"/>
      <c r="J8" s="473">
        <v>51609.71742891609</v>
      </c>
      <c r="K8" s="475"/>
      <c r="L8" s="473">
        <v>-30205.589076894223</v>
      </c>
      <c r="M8" s="474"/>
      <c r="N8" s="473">
        <v>-28950.574368124548</v>
      </c>
      <c r="O8" s="473"/>
      <c r="P8" s="473">
        <v>-865.31081197226592</v>
      </c>
      <c r="Q8" s="476"/>
      <c r="R8" s="473">
        <v>-49220.660562278143</v>
      </c>
      <c r="S8" s="475"/>
      <c r="T8" s="473">
        <v>-109242.13481926918</v>
      </c>
      <c r="U8" s="475"/>
      <c r="V8" s="477">
        <v>-120003.44882545943</v>
      </c>
      <c r="W8" s="475"/>
      <c r="X8" s="473">
        <v>-145532.33842297841</v>
      </c>
      <c r="Y8" s="475"/>
      <c r="Z8" s="473">
        <v>159</v>
      </c>
      <c r="AA8" s="478"/>
      <c r="AB8" s="477">
        <v>-145691.73761544211</v>
      </c>
      <c r="AC8" s="475"/>
      <c r="AD8" s="477">
        <f>+V8+AB8</f>
        <v>-265695.18644090154</v>
      </c>
      <c r="AE8" s="479">
        <v>47750.370205363331</v>
      </c>
      <c r="AF8" s="480">
        <v>-265695.18644090154</v>
      </c>
      <c r="AG8" s="479">
        <v>32883.72</v>
      </c>
      <c r="AH8" s="479">
        <v>99049.368561127849</v>
      </c>
      <c r="AI8" s="480">
        <v>51609.71742891609</v>
      </c>
      <c r="AJ8" s="480">
        <v>-47439.651132211759</v>
      </c>
      <c r="AK8" s="479">
        <v>-355620.07358471502</v>
      </c>
      <c r="AL8" s="480">
        <v>-109242.13481926918</v>
      </c>
      <c r="AM8" s="480">
        <v>246377.93876544584</v>
      </c>
      <c r="AN8" s="480">
        <f t="shared" ref="AN8:AN62" si="0">+AE8+AF8-AG8+AJ8+AM8</f>
        <v>-51890.248602304142</v>
      </c>
      <c r="AO8" s="480">
        <f t="shared" ref="AO8:AO62" si="1">+D8</f>
        <v>-51890.146523241623</v>
      </c>
      <c r="AP8" s="480">
        <f t="shared" ref="AP8:AP62" si="2">+AO8-AN8</f>
        <v>0.10207906251889654</v>
      </c>
      <c r="AQ8" s="490"/>
    </row>
    <row r="9" spans="1:43" s="459" customFormat="1" ht="13.7" customHeight="1" x14ac:dyDescent="0.2">
      <c r="A9" s="471">
        <v>800030005</v>
      </c>
      <c r="B9" s="472"/>
      <c r="C9" s="461" t="s">
        <v>603</v>
      </c>
      <c r="D9" s="473">
        <v>-440309.89956788934</v>
      </c>
      <c r="E9" s="474"/>
      <c r="F9" s="473">
        <v>388687.26581272949</v>
      </c>
      <c r="G9" s="473"/>
      <c r="H9" s="473">
        <v>121411.74306936878</v>
      </c>
      <c r="I9" s="473"/>
      <c r="J9" s="473">
        <v>510099.00888209825</v>
      </c>
      <c r="K9" s="475"/>
      <c r="L9" s="473">
        <v>-256307.23333724323</v>
      </c>
      <c r="M9" s="474"/>
      <c r="N9" s="473">
        <v>-245657.90128867998</v>
      </c>
      <c r="O9" s="473"/>
      <c r="P9" s="473">
        <v>-7342.5292130147463</v>
      </c>
      <c r="Q9" s="476"/>
      <c r="R9" s="473">
        <v>-393452.95917693898</v>
      </c>
      <c r="S9" s="475"/>
      <c r="T9" s="473">
        <v>-902760.62301587698</v>
      </c>
      <c r="U9" s="475"/>
      <c r="V9" s="477">
        <v>-1018280.1560691664</v>
      </c>
      <c r="W9" s="475"/>
      <c r="X9" s="473">
        <v>-1193068.4026854876</v>
      </c>
      <c r="Y9" s="475"/>
      <c r="Z9" s="473">
        <v>943</v>
      </c>
      <c r="AA9" s="478"/>
      <c r="AB9" s="477">
        <v>-1194011.1789850169</v>
      </c>
      <c r="AC9" s="475"/>
      <c r="AD9" s="477">
        <v>-2212291.3350541834</v>
      </c>
      <c r="AE9" s="479">
        <v>360561.66497245483</v>
      </c>
      <c r="AF9" s="480">
        <v>-2212291.3350541834</v>
      </c>
      <c r="AG9" s="479">
        <v>279032.31000000029</v>
      </c>
      <c r="AH9" s="479">
        <v>922982.89137156575</v>
      </c>
      <c r="AI9" s="480">
        <v>510099.00888209825</v>
      </c>
      <c r="AJ9" s="480">
        <v>-412883.88248946751</v>
      </c>
      <c r="AK9" s="479">
        <v>-3006095.7198350471</v>
      </c>
      <c r="AL9" s="480">
        <v>-902760.62301587698</v>
      </c>
      <c r="AM9" s="480">
        <v>2103335.0968191703</v>
      </c>
      <c r="AN9" s="480">
        <f t="shared" si="0"/>
        <v>-440310.76575202588</v>
      </c>
      <c r="AO9" s="480">
        <f t="shared" si="1"/>
        <v>-440309.89956788934</v>
      </c>
      <c r="AP9" s="480">
        <f t="shared" si="2"/>
        <v>0.86618413653923199</v>
      </c>
      <c r="AQ9" s="490"/>
    </row>
    <row r="10" spans="1:43" s="459" customFormat="1" ht="13.7" customHeight="1" x14ac:dyDescent="0.2">
      <c r="A10" s="471">
        <v>800050005</v>
      </c>
      <c r="B10" s="472"/>
      <c r="C10" s="461" t="s">
        <v>604</v>
      </c>
      <c r="D10" s="473">
        <v>-203103.35118846223</v>
      </c>
      <c r="E10" s="474"/>
      <c r="F10" s="473">
        <v>136355.39471970042</v>
      </c>
      <c r="G10" s="473"/>
      <c r="H10" s="473">
        <v>56004.036964013969</v>
      </c>
      <c r="I10" s="473"/>
      <c r="J10" s="473">
        <v>192359.43168371439</v>
      </c>
      <c r="K10" s="475"/>
      <c r="L10" s="473">
        <v>-118227.77111240225</v>
      </c>
      <c r="M10" s="474"/>
      <c r="N10" s="473">
        <v>-113315.51492850875</v>
      </c>
      <c r="O10" s="473"/>
      <c r="P10" s="473">
        <v>-3386.915195016054</v>
      </c>
      <c r="Q10" s="476"/>
      <c r="R10" s="473">
        <v>-36888.642379807112</v>
      </c>
      <c r="S10" s="475"/>
      <c r="T10" s="473">
        <v>-271818.84361573413</v>
      </c>
      <c r="U10" s="475"/>
      <c r="V10" s="477">
        <v>-469705.79664305277</v>
      </c>
      <c r="W10" s="475"/>
      <c r="X10" s="473">
        <v>53528.261343826183</v>
      </c>
      <c r="Y10" s="475"/>
      <c r="Z10" s="473">
        <v>420</v>
      </c>
      <c r="AA10" s="478"/>
      <c r="AB10" s="477">
        <v>53108.503490821764</v>
      </c>
      <c r="AC10" s="475"/>
      <c r="AD10" s="477">
        <v>-416597.29315223102</v>
      </c>
      <c r="AE10" s="479">
        <v>135913.52129085039</v>
      </c>
      <c r="AF10" s="480">
        <v>-416597.29315223102</v>
      </c>
      <c r="AG10" s="479">
        <v>128710.24999999997</v>
      </c>
      <c r="AH10" s="479">
        <v>382014.21570858796</v>
      </c>
      <c r="AI10" s="480">
        <v>192359.43168371439</v>
      </c>
      <c r="AJ10" s="480">
        <v>-189654.78402487357</v>
      </c>
      <c r="AK10" s="479">
        <v>-667763.89876561414</v>
      </c>
      <c r="AL10" s="480">
        <v>-271818.84361573413</v>
      </c>
      <c r="AM10" s="480">
        <v>395945.05514988001</v>
      </c>
      <c r="AN10" s="480">
        <f t="shared" si="0"/>
        <v>-203103.75073637418</v>
      </c>
      <c r="AO10" s="480">
        <f t="shared" si="1"/>
        <v>-203103.35118846223</v>
      </c>
      <c r="AP10" s="480">
        <f t="shared" si="2"/>
        <v>0.39954791194759309</v>
      </c>
      <c r="AQ10" s="490"/>
    </row>
    <row r="11" spans="1:43" s="459" customFormat="1" ht="13.7" customHeight="1" x14ac:dyDescent="0.2">
      <c r="A11" s="471">
        <v>800070005</v>
      </c>
      <c r="B11" s="472"/>
      <c r="C11" s="461" t="s">
        <v>605</v>
      </c>
      <c r="D11" s="473">
        <v>-87091.497778541016</v>
      </c>
      <c r="E11" s="474"/>
      <c r="F11" s="473">
        <v>71966.863017001247</v>
      </c>
      <c r="G11" s="473"/>
      <c r="H11" s="473">
        <v>24014.746346134285</v>
      </c>
      <c r="I11" s="473"/>
      <c r="J11" s="473">
        <v>95981.609363135532</v>
      </c>
      <c r="K11" s="475"/>
      <c r="L11" s="473">
        <v>-50696.522755270824</v>
      </c>
      <c r="M11" s="474"/>
      <c r="N11" s="473">
        <v>-48590.128419461915</v>
      </c>
      <c r="O11" s="473"/>
      <c r="P11" s="473">
        <v>-1452.3222559195472</v>
      </c>
      <c r="Q11" s="476"/>
      <c r="R11" s="473">
        <v>-38754.11279528882</v>
      </c>
      <c r="S11" s="475"/>
      <c r="T11" s="473">
        <v>-139493.08622594111</v>
      </c>
      <c r="U11" s="475"/>
      <c r="V11" s="477">
        <v>-201411.65128756434</v>
      </c>
      <c r="W11" s="475"/>
      <c r="X11" s="473">
        <v>-63695.551524356051</v>
      </c>
      <c r="Y11" s="475"/>
      <c r="Z11" s="473">
        <v>164</v>
      </c>
      <c r="AA11" s="478"/>
      <c r="AB11" s="477">
        <v>-63859.121055654061</v>
      </c>
      <c r="AC11" s="475"/>
      <c r="AD11" s="477">
        <v>-265270.77234321838</v>
      </c>
      <c r="AE11" s="479">
        <v>65795.591913455748</v>
      </c>
      <c r="AF11" s="480">
        <v>-265270.77234321838</v>
      </c>
      <c r="AG11" s="479">
        <v>55191.450000000012</v>
      </c>
      <c r="AH11" s="479">
        <v>170126.02243778415</v>
      </c>
      <c r="AI11" s="480">
        <v>95981.609363135532</v>
      </c>
      <c r="AJ11" s="480">
        <v>-74144.413074648619</v>
      </c>
      <c r="AK11" s="479">
        <v>-381212.46062413079</v>
      </c>
      <c r="AL11" s="480">
        <v>-139493.08622594111</v>
      </c>
      <c r="AM11" s="480">
        <v>241719.37439818968</v>
      </c>
      <c r="AN11" s="480">
        <f t="shared" si="0"/>
        <v>-87091.669106221554</v>
      </c>
      <c r="AO11" s="480">
        <f t="shared" si="1"/>
        <v>-87091.497778541016</v>
      </c>
      <c r="AP11" s="480">
        <f t="shared" si="2"/>
        <v>0.17132768053852487</v>
      </c>
      <c r="AQ11" s="490"/>
    </row>
    <row r="12" spans="1:43" s="459" customFormat="1" ht="13.7" customHeight="1" x14ac:dyDescent="0.2">
      <c r="A12" s="471">
        <v>800090005</v>
      </c>
      <c r="B12" s="472"/>
      <c r="C12" s="461" t="s">
        <v>606</v>
      </c>
      <c r="D12" s="473">
        <v>-145906.88547094553</v>
      </c>
      <c r="E12" s="474"/>
      <c r="F12" s="473">
        <v>0</v>
      </c>
      <c r="G12" s="473"/>
      <c r="H12" s="473">
        <v>40232.593698745339</v>
      </c>
      <c r="I12" s="473"/>
      <c r="J12" s="473">
        <v>40232.593698745339</v>
      </c>
      <c r="K12" s="475"/>
      <c r="L12" s="473">
        <v>-84933.339397121585</v>
      </c>
      <c r="M12" s="474"/>
      <c r="N12" s="473">
        <v>-81404.436519678522</v>
      </c>
      <c r="O12" s="473"/>
      <c r="P12" s="473">
        <v>-2433.1171522643263</v>
      </c>
      <c r="Q12" s="476"/>
      <c r="R12" s="473">
        <v>-146650.62937373557</v>
      </c>
      <c r="S12" s="475"/>
      <c r="T12" s="473">
        <v>-315421.52244279999</v>
      </c>
      <c r="U12" s="475"/>
      <c r="V12" s="477">
        <v>-337430.71926097467</v>
      </c>
      <c r="W12" s="475"/>
      <c r="X12" s="473">
        <v>-243514.59597881662</v>
      </c>
      <c r="Y12" s="475"/>
      <c r="Z12" s="473">
        <v>727</v>
      </c>
      <c r="AA12" s="478"/>
      <c r="AB12" s="477">
        <v>-244241.91987176207</v>
      </c>
      <c r="AC12" s="475"/>
      <c r="AD12" s="477">
        <v>-581672.63913273672</v>
      </c>
      <c r="AE12" s="479">
        <v>119219.59209272763</v>
      </c>
      <c r="AF12" s="480">
        <v>-581672.63913273672</v>
      </c>
      <c r="AG12" s="479">
        <v>92463.820000000036</v>
      </c>
      <c r="AH12" s="479">
        <v>94961.353461890787</v>
      </c>
      <c r="AI12" s="480">
        <v>40232.593698745339</v>
      </c>
      <c r="AJ12" s="480">
        <v>-54728.759763145448</v>
      </c>
      <c r="AK12" s="479">
        <v>-779159.97674482921</v>
      </c>
      <c r="AL12" s="480">
        <v>-315421.52244279999</v>
      </c>
      <c r="AM12" s="480">
        <v>463738.45430202922</v>
      </c>
      <c r="AN12" s="480">
        <f t="shared" si="0"/>
        <v>-145907.17250112537</v>
      </c>
      <c r="AO12" s="480">
        <f t="shared" si="1"/>
        <v>-145906.88547094553</v>
      </c>
      <c r="AP12" s="480">
        <f t="shared" si="2"/>
        <v>0.28703017983934842</v>
      </c>
      <c r="AQ12" s="490"/>
    </row>
    <row r="13" spans="1:43" s="459" customFormat="1" ht="13.7" customHeight="1" x14ac:dyDescent="0.2">
      <c r="A13" s="471">
        <v>800110005</v>
      </c>
      <c r="B13" s="472"/>
      <c r="C13" s="461" t="s">
        <v>607</v>
      </c>
      <c r="D13" s="473">
        <v>-566261.83669950184</v>
      </c>
      <c r="E13" s="474"/>
      <c r="F13" s="473">
        <v>285421.97524229274</v>
      </c>
      <c r="G13" s="473"/>
      <c r="H13" s="473">
        <v>156141.92798031424</v>
      </c>
      <c r="I13" s="473"/>
      <c r="J13" s="473">
        <v>441563.90322260698</v>
      </c>
      <c r="K13" s="475"/>
      <c r="L13" s="473">
        <v>-329624.66856036958</v>
      </c>
      <c r="M13" s="474"/>
      <c r="N13" s="473">
        <v>-315929.0638706719</v>
      </c>
      <c r="O13" s="473"/>
      <c r="P13" s="473">
        <v>-9442.8812122140498</v>
      </c>
      <c r="Q13" s="476"/>
      <c r="R13" s="473">
        <v>0</v>
      </c>
      <c r="S13" s="475"/>
      <c r="T13" s="473">
        <v>-654996.61364325555</v>
      </c>
      <c r="U13" s="475"/>
      <c r="V13" s="477">
        <v>-1309562.1788568853</v>
      </c>
      <c r="W13" s="475"/>
      <c r="X13" s="473">
        <v>-35174.840883470803</v>
      </c>
      <c r="Y13" s="475"/>
      <c r="Z13" s="473">
        <v>1686</v>
      </c>
      <c r="AA13" s="478"/>
      <c r="AB13" s="477">
        <v>-36860.933805276414</v>
      </c>
      <c r="AC13" s="475"/>
      <c r="AD13" s="477">
        <v>-1346423.1126621617</v>
      </c>
      <c r="AE13" s="479">
        <v>351831.79471995548</v>
      </c>
      <c r="AF13" s="480">
        <v>-1346423.1126621617</v>
      </c>
      <c r="AG13" s="479">
        <v>358850.31999999995</v>
      </c>
      <c r="AH13" s="479">
        <v>613402.01176969567</v>
      </c>
      <c r="AI13" s="480">
        <v>441563.90322260698</v>
      </c>
      <c r="AJ13" s="480">
        <v>-171838.10854708869</v>
      </c>
      <c r="AK13" s="479">
        <v>-1614013.4094744008</v>
      </c>
      <c r="AL13" s="480">
        <v>-654996.61364325555</v>
      </c>
      <c r="AM13" s="480">
        <v>959016.79583114525</v>
      </c>
      <c r="AN13" s="480">
        <f t="shared" si="0"/>
        <v>-566262.95065814955</v>
      </c>
      <c r="AO13" s="480">
        <f t="shared" si="1"/>
        <v>-566261.83669950184</v>
      </c>
      <c r="AP13" s="480">
        <f t="shared" si="2"/>
        <v>1.1139586477074772</v>
      </c>
      <c r="AQ13" s="490"/>
    </row>
    <row r="14" spans="1:43" s="459" customFormat="1" ht="13.7" customHeight="1" x14ac:dyDescent="0.2">
      <c r="A14" s="471">
        <v>800130005</v>
      </c>
      <c r="B14" s="472"/>
      <c r="C14" s="461" t="s">
        <v>608</v>
      </c>
      <c r="D14" s="473">
        <v>-82981.925397680709</v>
      </c>
      <c r="E14" s="474"/>
      <c r="F14" s="473">
        <v>147207.20901430835</v>
      </c>
      <c r="G14" s="473"/>
      <c r="H14" s="473">
        <v>22881.566405098107</v>
      </c>
      <c r="I14" s="473"/>
      <c r="J14" s="473">
        <v>170088.77541940645</v>
      </c>
      <c r="K14" s="475"/>
      <c r="L14" s="473">
        <v>-48304.314158164212</v>
      </c>
      <c r="M14" s="474"/>
      <c r="N14" s="473">
        <v>-46297.313910256424</v>
      </c>
      <c r="O14" s="473"/>
      <c r="P14" s="473">
        <v>-1383.7917611723744</v>
      </c>
      <c r="Q14" s="476"/>
      <c r="R14" s="473">
        <v>-3692.5770312388777</v>
      </c>
      <c r="S14" s="475"/>
      <c r="T14" s="473">
        <v>-99677.996860831874</v>
      </c>
      <c r="U14" s="475"/>
      <c r="V14" s="477">
        <v>-191907.67236393184</v>
      </c>
      <c r="W14" s="475"/>
      <c r="X14" s="473">
        <v>-1382.206955718626</v>
      </c>
      <c r="Y14" s="475"/>
      <c r="Z14" s="473">
        <v>68</v>
      </c>
      <c r="AA14" s="478"/>
      <c r="AB14" s="477">
        <v>-1450.3275839844189</v>
      </c>
      <c r="AC14" s="475"/>
      <c r="AD14" s="477">
        <v>-193357.99994791625</v>
      </c>
      <c r="AE14" s="479">
        <v>50653.164238163423</v>
      </c>
      <c r="AF14" s="480">
        <v>-193357.99994791625</v>
      </c>
      <c r="AG14" s="479">
        <v>52587.140000000014</v>
      </c>
      <c r="AH14" s="479">
        <v>273644.12375702237</v>
      </c>
      <c r="AI14" s="480">
        <v>170088.77541940645</v>
      </c>
      <c r="AJ14" s="480">
        <v>-103555.34833761593</v>
      </c>
      <c r="AK14" s="479">
        <v>-315543.23226725077</v>
      </c>
      <c r="AL14" s="480">
        <v>-99677.996860831874</v>
      </c>
      <c r="AM14" s="480">
        <v>215865.23540641891</v>
      </c>
      <c r="AN14" s="480">
        <f t="shared" si="0"/>
        <v>-82982.088640949863</v>
      </c>
      <c r="AO14" s="480">
        <f t="shared" si="1"/>
        <v>-82981.925397680709</v>
      </c>
      <c r="AP14" s="480">
        <f t="shared" si="2"/>
        <v>0.16324326915491838</v>
      </c>
      <c r="AQ14" s="490"/>
    </row>
    <row r="15" spans="1:43" s="459" customFormat="1" ht="13.7" customHeight="1" x14ac:dyDescent="0.2">
      <c r="A15" s="471">
        <v>800150005</v>
      </c>
      <c r="B15" s="472"/>
      <c r="C15" s="461" t="s">
        <v>609</v>
      </c>
      <c r="D15" s="473">
        <v>-102390.08478881119</v>
      </c>
      <c r="E15" s="474"/>
      <c r="F15" s="473">
        <v>69386.727874933466</v>
      </c>
      <c r="G15" s="473"/>
      <c r="H15" s="473">
        <v>28233.202749767599</v>
      </c>
      <c r="I15" s="473"/>
      <c r="J15" s="473">
        <v>97619.930624701068</v>
      </c>
      <c r="K15" s="475"/>
      <c r="L15" s="473">
        <v>-59601.928957628654</v>
      </c>
      <c r="M15" s="474"/>
      <c r="N15" s="473">
        <v>-57125.523106961482</v>
      </c>
      <c r="O15" s="473"/>
      <c r="P15" s="473">
        <v>-1707.4387594344471</v>
      </c>
      <c r="Q15" s="476"/>
      <c r="R15" s="473">
        <v>-29658.973556856668</v>
      </c>
      <c r="S15" s="475"/>
      <c r="T15" s="473">
        <v>-148093.86438088125</v>
      </c>
      <c r="U15" s="475"/>
      <c r="V15" s="477">
        <v>-236791.8405218827</v>
      </c>
      <c r="W15" s="475"/>
      <c r="X15" s="473">
        <v>-68528.194040463481</v>
      </c>
      <c r="Y15" s="475"/>
      <c r="Z15" s="473">
        <v>215</v>
      </c>
      <c r="AA15" s="478"/>
      <c r="AB15" s="477">
        <v>-68743.235328165727</v>
      </c>
      <c r="AC15" s="475"/>
      <c r="AD15" s="477">
        <v>-305535.07585004845</v>
      </c>
      <c r="AE15" s="479">
        <v>66590.369630703077</v>
      </c>
      <c r="AF15" s="480">
        <v>-305535.07585004845</v>
      </c>
      <c r="AG15" s="479">
        <v>64886.44</v>
      </c>
      <c r="AH15" s="479">
        <v>140712.13159257296</v>
      </c>
      <c r="AI15" s="480">
        <v>97619.930624701068</v>
      </c>
      <c r="AJ15" s="480">
        <v>-43092.20096787189</v>
      </c>
      <c r="AK15" s="479">
        <v>-392626.92535600043</v>
      </c>
      <c r="AL15" s="480">
        <v>-148093.86438088125</v>
      </c>
      <c r="AM15" s="480">
        <v>244533.06097511918</v>
      </c>
      <c r="AN15" s="480">
        <f t="shared" si="0"/>
        <v>-102390.28621209809</v>
      </c>
      <c r="AO15" s="480">
        <f t="shared" si="1"/>
        <v>-102390.08478881119</v>
      </c>
      <c r="AP15" s="480">
        <f t="shared" si="2"/>
        <v>0.20142328689689748</v>
      </c>
      <c r="AQ15" s="490"/>
    </row>
    <row r="16" spans="1:43" s="459" customFormat="1" ht="13.7" customHeight="1" x14ac:dyDescent="0.2">
      <c r="A16" s="471">
        <v>800170005</v>
      </c>
      <c r="B16" s="472"/>
      <c r="C16" s="461" t="s">
        <v>610</v>
      </c>
      <c r="D16" s="473">
        <v>-102672.150312147</v>
      </c>
      <c r="E16" s="474"/>
      <c r="F16" s="473">
        <v>33515.515364891748</v>
      </c>
      <c r="G16" s="473"/>
      <c r="H16" s="473">
        <v>28310.97994006376</v>
      </c>
      <c r="I16" s="473"/>
      <c r="J16" s="473">
        <v>61826.495304955504</v>
      </c>
      <c r="K16" s="475"/>
      <c r="L16" s="473">
        <v>-59766.12111859749</v>
      </c>
      <c r="M16" s="474"/>
      <c r="N16" s="473">
        <v>-57282.893233221577</v>
      </c>
      <c r="O16" s="473"/>
      <c r="P16" s="473">
        <v>-1712.1424337036608</v>
      </c>
      <c r="Q16" s="476"/>
      <c r="R16" s="473">
        <v>-47395.27620001827</v>
      </c>
      <c r="S16" s="475"/>
      <c r="T16" s="473">
        <v>-166156.432985541</v>
      </c>
      <c r="U16" s="475"/>
      <c r="V16" s="477">
        <v>-237444.15773166151</v>
      </c>
      <c r="W16" s="475"/>
      <c r="X16" s="473">
        <v>-106415.80056056581</v>
      </c>
      <c r="Y16" s="475"/>
      <c r="Z16" s="473">
        <v>462</v>
      </c>
      <c r="AA16" s="478"/>
      <c r="AB16" s="477">
        <v>-106878.2984511019</v>
      </c>
      <c r="AC16" s="475"/>
      <c r="AD16" s="477">
        <v>-344322.45618276345</v>
      </c>
      <c r="AE16" s="479">
        <v>78723.698440361928</v>
      </c>
      <c r="AF16" s="480">
        <v>-344322.45618276345</v>
      </c>
      <c r="AG16" s="479">
        <v>65065.189999999988</v>
      </c>
      <c r="AH16" s="479">
        <v>139524.59472044936</v>
      </c>
      <c r="AI16" s="480">
        <v>61826.495304955504</v>
      </c>
      <c r="AJ16" s="480">
        <v>-77698.099415493853</v>
      </c>
      <c r="AK16" s="479">
        <v>-471846.12785311893</v>
      </c>
      <c r="AL16" s="480">
        <v>-166156.432985541</v>
      </c>
      <c r="AM16" s="480">
        <v>305689.69486757793</v>
      </c>
      <c r="AN16" s="480">
        <f t="shared" si="0"/>
        <v>-102672.35229031742</v>
      </c>
      <c r="AO16" s="480">
        <f t="shared" si="1"/>
        <v>-102672.150312147</v>
      </c>
      <c r="AP16" s="480">
        <f t="shared" si="2"/>
        <v>0.20197817041480448</v>
      </c>
      <c r="AQ16" s="490"/>
    </row>
    <row r="17" spans="1:43" s="459" customFormat="1" ht="13.7" customHeight="1" x14ac:dyDescent="0.2">
      <c r="A17" s="471">
        <v>800190005</v>
      </c>
      <c r="B17" s="472"/>
      <c r="C17" s="461" t="s">
        <v>611</v>
      </c>
      <c r="D17" s="473">
        <v>-231880.97772006231</v>
      </c>
      <c r="E17" s="474"/>
      <c r="F17" s="473">
        <v>119070.11698512606</v>
      </c>
      <c r="G17" s="473"/>
      <c r="H17" s="473">
        <v>63939.224889676683</v>
      </c>
      <c r="I17" s="473"/>
      <c r="J17" s="473">
        <v>183009.34187480275</v>
      </c>
      <c r="K17" s="475"/>
      <c r="L17" s="473">
        <v>-134979.41318441887</v>
      </c>
      <c r="M17" s="474"/>
      <c r="N17" s="473">
        <v>-129371.14153322538</v>
      </c>
      <c r="O17" s="473"/>
      <c r="P17" s="473">
        <v>-3866.8057532271405</v>
      </c>
      <c r="Q17" s="476"/>
      <c r="R17" s="473">
        <v>-190665.77909174</v>
      </c>
      <c r="S17" s="475"/>
      <c r="T17" s="473">
        <v>-458883.13956261135</v>
      </c>
      <c r="U17" s="475"/>
      <c r="V17" s="477">
        <v>-536258.20907951158</v>
      </c>
      <c r="W17" s="475"/>
      <c r="X17" s="473">
        <v>-85984.289505885274</v>
      </c>
      <c r="Y17" s="475"/>
      <c r="Z17" s="473">
        <v>722</v>
      </c>
      <c r="AA17" s="478"/>
      <c r="AB17" s="477">
        <v>-86706.179162252738</v>
      </c>
      <c r="AC17" s="475"/>
      <c r="AD17" s="477">
        <v>-622964.38824176427</v>
      </c>
      <c r="AE17" s="479">
        <v>194098.89884027769</v>
      </c>
      <c r="AF17" s="480">
        <v>-622964.38824176427</v>
      </c>
      <c r="AG17" s="479">
        <v>146947.15000000002</v>
      </c>
      <c r="AH17" s="479">
        <v>542372.30721364752</v>
      </c>
      <c r="AI17" s="480">
        <v>183009.34187480275</v>
      </c>
      <c r="AJ17" s="480">
        <v>-359362.96533884481</v>
      </c>
      <c r="AK17" s="479">
        <v>-1162177.3104231968</v>
      </c>
      <c r="AL17" s="480">
        <v>-458883.13956261135</v>
      </c>
      <c r="AM17" s="480">
        <v>703294.17086058541</v>
      </c>
      <c r="AN17" s="480">
        <f t="shared" si="0"/>
        <v>-231881.43387974601</v>
      </c>
      <c r="AO17" s="480">
        <f t="shared" si="1"/>
        <v>-231880.97772006231</v>
      </c>
      <c r="AP17" s="480">
        <f t="shared" si="2"/>
        <v>0.45615968370111659</v>
      </c>
      <c r="AQ17" s="490"/>
    </row>
    <row r="18" spans="1:43" s="459" customFormat="1" ht="13.7" customHeight="1" x14ac:dyDescent="0.2">
      <c r="A18" s="471">
        <v>800210005</v>
      </c>
      <c r="B18" s="472"/>
      <c r="C18" s="461" t="s">
        <v>612</v>
      </c>
      <c r="D18" s="473">
        <v>-39329.70170456636</v>
      </c>
      <c r="E18" s="474"/>
      <c r="F18" s="473">
        <v>35335.61424649394</v>
      </c>
      <c r="G18" s="473"/>
      <c r="H18" s="473">
        <v>10844.83370243525</v>
      </c>
      <c r="I18" s="473"/>
      <c r="J18" s="473">
        <v>46180.447948929192</v>
      </c>
      <c r="K18" s="475"/>
      <c r="L18" s="473">
        <v>-22894.07311025538</v>
      </c>
      <c r="M18" s="474"/>
      <c r="N18" s="473">
        <v>-21942.84522908826</v>
      </c>
      <c r="O18" s="473"/>
      <c r="P18" s="473">
        <v>-655.85507840804007</v>
      </c>
      <c r="Q18" s="476"/>
      <c r="R18" s="473">
        <v>-48477.287942558571</v>
      </c>
      <c r="S18" s="475"/>
      <c r="T18" s="473">
        <v>-93970.061360310254</v>
      </c>
      <c r="U18" s="475"/>
      <c r="V18" s="477">
        <v>-90955.608377605124</v>
      </c>
      <c r="W18" s="475"/>
      <c r="X18" s="473">
        <v>-79487.095228921753</v>
      </c>
      <c r="Y18" s="475"/>
      <c r="Z18" s="473">
        <v>64</v>
      </c>
      <c r="AA18" s="478"/>
      <c r="AB18" s="477">
        <v>-79550.664529880742</v>
      </c>
      <c r="AC18" s="475"/>
      <c r="AD18" s="477">
        <v>-170506.27290748587</v>
      </c>
      <c r="AE18" s="479">
        <v>26312.481347896744</v>
      </c>
      <c r="AF18" s="480">
        <v>-170506.27290748587</v>
      </c>
      <c r="AG18" s="479">
        <v>24923.940000000002</v>
      </c>
      <c r="AH18" s="479">
        <v>72334.025852141727</v>
      </c>
      <c r="AI18" s="480">
        <v>46180.447948929192</v>
      </c>
      <c r="AJ18" s="480">
        <v>-26153.577903212536</v>
      </c>
      <c r="AK18" s="479">
        <v>-249911.59174857553</v>
      </c>
      <c r="AL18" s="480">
        <v>-93970.061360310254</v>
      </c>
      <c r="AM18" s="480">
        <v>155941.53038826527</v>
      </c>
      <c r="AN18" s="480">
        <f t="shared" si="0"/>
        <v>-39329.779074536404</v>
      </c>
      <c r="AO18" s="480">
        <f t="shared" si="1"/>
        <v>-39329.70170456636</v>
      </c>
      <c r="AP18" s="480">
        <f t="shared" si="2"/>
        <v>7.7369970043946523E-2</v>
      </c>
      <c r="AQ18" s="490"/>
    </row>
    <row r="19" spans="1:43" s="459" customFormat="1" ht="13.7" customHeight="1" x14ac:dyDescent="0.2">
      <c r="A19" s="471">
        <v>800230005</v>
      </c>
      <c r="B19" s="472"/>
      <c r="C19" s="461" t="s">
        <v>613</v>
      </c>
      <c r="D19" s="473">
        <v>-62670.241098289291</v>
      </c>
      <c r="E19" s="474"/>
      <c r="F19" s="473">
        <v>120298.09776263035</v>
      </c>
      <c r="G19" s="473"/>
      <c r="H19" s="473">
        <v>17280.790683534731</v>
      </c>
      <c r="I19" s="473"/>
      <c r="J19" s="473">
        <v>137578.88844616507</v>
      </c>
      <c r="K19" s="475"/>
      <c r="L19" s="473">
        <v>-36480.751680223962</v>
      </c>
      <c r="M19" s="474"/>
      <c r="N19" s="473">
        <v>-34965.009681976444</v>
      </c>
      <c r="O19" s="473"/>
      <c r="P19" s="473">
        <v>-1045.0777429770617</v>
      </c>
      <c r="Q19" s="476"/>
      <c r="R19" s="473">
        <v>-38759.668169409138</v>
      </c>
      <c r="S19" s="475"/>
      <c r="T19" s="473">
        <v>-111250.50727458661</v>
      </c>
      <c r="U19" s="475"/>
      <c r="V19" s="477">
        <v>-144933.97252500072</v>
      </c>
      <c r="W19" s="475"/>
      <c r="X19" s="473">
        <v>-31338.90582803448</v>
      </c>
      <c r="Y19" s="475"/>
      <c r="Z19" s="473">
        <v>50</v>
      </c>
      <c r="AA19" s="478"/>
      <c r="AB19" s="477">
        <v>-31388.647262023871</v>
      </c>
      <c r="AC19" s="475"/>
      <c r="AD19" s="477">
        <v>-176322.6197870246</v>
      </c>
      <c r="AE19" s="479">
        <v>56367.21466053139</v>
      </c>
      <c r="AF19" s="480">
        <v>-176322.6197870246</v>
      </c>
      <c r="AG19" s="479">
        <v>39715.260000000009</v>
      </c>
      <c r="AH19" s="479">
        <v>255616.98049940958</v>
      </c>
      <c r="AI19" s="480">
        <v>137578.88844616507</v>
      </c>
      <c r="AJ19" s="480">
        <v>-118038.0920532445</v>
      </c>
      <c r="AK19" s="479">
        <v>-326288.90007021121</v>
      </c>
      <c r="AL19" s="480">
        <v>-111250.50727458661</v>
      </c>
      <c r="AM19" s="480">
        <v>215038.39279562462</v>
      </c>
      <c r="AN19" s="480">
        <f t="shared" si="0"/>
        <v>-62670.364384113054</v>
      </c>
      <c r="AO19" s="480">
        <f t="shared" si="1"/>
        <v>-62670.241098289291</v>
      </c>
      <c r="AP19" s="480">
        <f t="shared" si="2"/>
        <v>0.12328582376358099</v>
      </c>
      <c r="AQ19" s="490"/>
    </row>
    <row r="20" spans="1:43" s="459" customFormat="1" ht="13.7" customHeight="1" x14ac:dyDescent="0.2">
      <c r="A20" s="471">
        <v>800250005</v>
      </c>
      <c r="B20" s="472"/>
      <c r="C20" s="461" t="s">
        <v>614</v>
      </c>
      <c r="D20" s="473">
        <v>-195685.25673312609</v>
      </c>
      <c r="E20" s="474"/>
      <c r="F20" s="473">
        <v>0</v>
      </c>
      <c r="G20" s="473"/>
      <c r="H20" s="473">
        <v>53958.559951211275</v>
      </c>
      <c r="I20" s="473"/>
      <c r="J20" s="473">
        <v>53958.559951211275</v>
      </c>
      <c r="K20" s="475"/>
      <c r="L20" s="473">
        <v>-113909.6504697652</v>
      </c>
      <c r="M20" s="474"/>
      <c r="N20" s="473">
        <v>-109176.80826475342</v>
      </c>
      <c r="O20" s="473"/>
      <c r="P20" s="473">
        <v>-3263.2123773036619</v>
      </c>
      <c r="Q20" s="476"/>
      <c r="R20" s="473">
        <v>-144517.28878276492</v>
      </c>
      <c r="S20" s="475"/>
      <c r="T20" s="473">
        <v>-370866.95989458717</v>
      </c>
      <c r="U20" s="475"/>
      <c r="V20" s="477">
        <v>-452550.38317828957</v>
      </c>
      <c r="W20" s="475"/>
      <c r="X20" s="473">
        <v>-271235.65012146265</v>
      </c>
      <c r="Y20" s="475"/>
      <c r="Z20" s="473">
        <v>898</v>
      </c>
      <c r="AA20" s="478"/>
      <c r="AB20" s="477">
        <v>-272134.11899260816</v>
      </c>
      <c r="AC20" s="475"/>
      <c r="AD20" s="477">
        <v>-724684.50217089779</v>
      </c>
      <c r="AE20" s="479">
        <v>145100.70111362395</v>
      </c>
      <c r="AF20" s="480">
        <v>-724684.50217089779</v>
      </c>
      <c r="AG20" s="479">
        <v>124009.27000000002</v>
      </c>
      <c r="AH20" s="479">
        <v>115576.29684978203</v>
      </c>
      <c r="AI20" s="480">
        <v>53958.559951211275</v>
      </c>
      <c r="AJ20" s="480">
        <v>-61617.736898570751</v>
      </c>
      <c r="AK20" s="479">
        <v>-940392.12616237882</v>
      </c>
      <c r="AL20" s="480">
        <v>-370866.95989458717</v>
      </c>
      <c r="AM20" s="480">
        <v>569525.16626779165</v>
      </c>
      <c r="AN20" s="480">
        <f t="shared" si="0"/>
        <v>-195685.64168805303</v>
      </c>
      <c r="AO20" s="480">
        <f t="shared" si="1"/>
        <v>-195685.25673312609</v>
      </c>
      <c r="AP20" s="480">
        <f t="shared" si="2"/>
        <v>0.38495492693618871</v>
      </c>
      <c r="AQ20" s="490"/>
    </row>
    <row r="21" spans="1:43" s="459" customFormat="1" ht="13.7" customHeight="1" x14ac:dyDescent="0.2">
      <c r="A21" s="471">
        <v>800270005</v>
      </c>
      <c r="B21" s="472"/>
      <c r="C21" s="461" t="s">
        <v>615</v>
      </c>
      <c r="D21" s="473">
        <v>-147539.109892612</v>
      </c>
      <c r="E21" s="474"/>
      <c r="F21" s="473">
        <v>152814.36607901822</v>
      </c>
      <c r="G21" s="473"/>
      <c r="H21" s="473">
        <v>40682.665823649637</v>
      </c>
      <c r="I21" s="473"/>
      <c r="J21" s="473">
        <v>193497.03190266786</v>
      </c>
      <c r="K21" s="475"/>
      <c r="L21" s="473">
        <v>-85883.467763786452</v>
      </c>
      <c r="M21" s="474"/>
      <c r="N21" s="473">
        <v>-82315.087918278048</v>
      </c>
      <c r="O21" s="473"/>
      <c r="P21" s="473">
        <v>-2460.3358350830495</v>
      </c>
      <c r="Q21" s="476"/>
      <c r="R21" s="473">
        <v>0</v>
      </c>
      <c r="S21" s="475"/>
      <c r="T21" s="473">
        <v>-170658.89151714754</v>
      </c>
      <c r="U21" s="475"/>
      <c r="V21" s="477">
        <v>-341205.4736793185</v>
      </c>
      <c r="W21" s="475"/>
      <c r="X21" s="473">
        <v>119117.11346513059</v>
      </c>
      <c r="Y21" s="475"/>
      <c r="Z21" s="473">
        <v>292</v>
      </c>
      <c r="AA21" s="478"/>
      <c r="AB21" s="477">
        <v>118825.0530307984</v>
      </c>
      <c r="AC21" s="475"/>
      <c r="AD21" s="477">
        <v>-222380.42064852011</v>
      </c>
      <c r="AE21" s="479">
        <v>95364.049245444883</v>
      </c>
      <c r="AF21" s="480">
        <v>-222380.42064852011</v>
      </c>
      <c r="AG21" s="479">
        <v>93498.189999999973</v>
      </c>
      <c r="AH21" s="479">
        <v>429672.48971233511</v>
      </c>
      <c r="AI21" s="480">
        <v>193497.03190266786</v>
      </c>
      <c r="AJ21" s="480">
        <v>-236175.45780966725</v>
      </c>
      <c r="AK21" s="479">
        <v>-479809.51059616217</v>
      </c>
      <c r="AL21" s="480">
        <v>-170658.89151714754</v>
      </c>
      <c r="AM21" s="480">
        <v>309150.61907901464</v>
      </c>
      <c r="AN21" s="480">
        <f t="shared" si="0"/>
        <v>-147539.40013372782</v>
      </c>
      <c r="AO21" s="480">
        <f t="shared" si="1"/>
        <v>-147539.109892612</v>
      </c>
      <c r="AP21" s="480">
        <f t="shared" si="2"/>
        <v>0.29024111581384204</v>
      </c>
      <c r="AQ21" s="490"/>
    </row>
    <row r="22" spans="1:43" s="459" customFormat="1" ht="13.7" customHeight="1" x14ac:dyDescent="0.2">
      <c r="A22" s="471">
        <v>800290005</v>
      </c>
      <c r="B22" s="472"/>
      <c r="C22" s="461" t="s">
        <v>616</v>
      </c>
      <c r="D22" s="473">
        <v>-167696.35641427551</v>
      </c>
      <c r="E22" s="474"/>
      <c r="F22" s="473">
        <v>88286.913226794873</v>
      </c>
      <c r="G22" s="473"/>
      <c r="H22" s="473">
        <v>46240.856629888352</v>
      </c>
      <c r="I22" s="473"/>
      <c r="J22" s="473">
        <v>134527.76985668321</v>
      </c>
      <c r="K22" s="475"/>
      <c r="L22" s="473">
        <v>-97617.131014907034</v>
      </c>
      <c r="M22" s="474"/>
      <c r="N22" s="473">
        <v>-93561.228150714276</v>
      </c>
      <c r="O22" s="473"/>
      <c r="P22" s="473">
        <v>-2796.4744764910738</v>
      </c>
      <c r="Q22" s="476"/>
      <c r="R22" s="473">
        <v>-216.93993659199077</v>
      </c>
      <c r="S22" s="475"/>
      <c r="T22" s="473">
        <v>-194191.77357870436</v>
      </c>
      <c r="U22" s="475"/>
      <c r="V22" s="477">
        <v>-387822.01388008997</v>
      </c>
      <c r="W22" s="475"/>
      <c r="X22" s="473">
        <v>-49335.901677794071</v>
      </c>
      <c r="Y22" s="475"/>
      <c r="Z22" s="473">
        <v>405</v>
      </c>
      <c r="AA22" s="478"/>
      <c r="AB22" s="477">
        <v>-49740.46928373992</v>
      </c>
      <c r="AC22" s="475"/>
      <c r="AD22" s="477">
        <v>-437562.48316382989</v>
      </c>
      <c r="AE22" s="479">
        <v>110970.4127940375</v>
      </c>
      <c r="AF22" s="480">
        <v>-437562.48316382989</v>
      </c>
      <c r="AG22" s="479">
        <v>106272.20000000001</v>
      </c>
      <c r="AH22" s="479">
        <v>200330.4495819936</v>
      </c>
      <c r="AI22" s="480">
        <v>134527.76985668321</v>
      </c>
      <c r="AJ22" s="480">
        <v>-65802.679725310387</v>
      </c>
      <c r="AK22" s="479">
        <v>-525162.03736478277</v>
      </c>
      <c r="AL22" s="480">
        <v>-194191.77357870436</v>
      </c>
      <c r="AM22" s="480">
        <v>330970.26378607843</v>
      </c>
      <c r="AN22" s="480">
        <f t="shared" si="0"/>
        <v>-167696.68630902434</v>
      </c>
      <c r="AO22" s="480">
        <f t="shared" si="1"/>
        <v>-167696.35641427551</v>
      </c>
      <c r="AP22" s="480">
        <f t="shared" si="2"/>
        <v>0.32989474883652292</v>
      </c>
      <c r="AQ22" s="490"/>
    </row>
    <row r="23" spans="1:43" s="459" customFormat="1" ht="13.7" customHeight="1" x14ac:dyDescent="0.2">
      <c r="A23" s="471">
        <v>800310005</v>
      </c>
      <c r="B23" s="472"/>
      <c r="C23" s="461" t="s">
        <v>617</v>
      </c>
      <c r="D23" s="473">
        <v>-92886.930425197555</v>
      </c>
      <c r="E23" s="474"/>
      <c r="F23" s="473">
        <v>120523.37081034412</v>
      </c>
      <c r="G23" s="473"/>
      <c r="H23" s="473">
        <v>25612.788043952631</v>
      </c>
      <c r="I23" s="473"/>
      <c r="J23" s="473">
        <v>146136.15885429675</v>
      </c>
      <c r="K23" s="475"/>
      <c r="L23" s="473">
        <v>-54070.08148995888</v>
      </c>
      <c r="M23" s="474"/>
      <c r="N23" s="473">
        <v>-51823.518862045028</v>
      </c>
      <c r="O23" s="473"/>
      <c r="P23" s="473">
        <v>-1548.9658552387896</v>
      </c>
      <c r="Q23" s="476"/>
      <c r="R23" s="473">
        <v>-22593.315368896376</v>
      </c>
      <c r="S23" s="475"/>
      <c r="T23" s="473">
        <v>-130035.88157613907</v>
      </c>
      <c r="U23" s="475"/>
      <c r="V23" s="477">
        <v>-214814.42525589265</v>
      </c>
      <c r="W23" s="475"/>
      <c r="X23" s="473">
        <v>-34180.711254949245</v>
      </c>
      <c r="Y23" s="475"/>
      <c r="Z23" s="473">
        <v>82</v>
      </c>
      <c r="AA23" s="478"/>
      <c r="AB23" s="477">
        <v>-34262.972428783098</v>
      </c>
      <c r="AC23" s="475"/>
      <c r="AD23" s="477">
        <v>-249077.39768467576</v>
      </c>
      <c r="AE23" s="479">
        <v>45224.991460636666</v>
      </c>
      <c r="AF23" s="480">
        <v>-249077.39768467576</v>
      </c>
      <c r="AG23" s="479">
        <v>58864.119999999995</v>
      </c>
      <c r="AH23" s="479">
        <v>142761.21001491082</v>
      </c>
      <c r="AI23" s="480">
        <v>146136.15885429675</v>
      </c>
      <c r="AJ23" s="480">
        <v>3374.9488393859356</v>
      </c>
      <c r="AK23" s="479">
        <v>-296490.34580705338</v>
      </c>
      <c r="AL23" s="480">
        <v>-130035.88157613907</v>
      </c>
      <c r="AM23" s="480">
        <v>166454.46423091431</v>
      </c>
      <c r="AN23" s="480">
        <f t="shared" si="0"/>
        <v>-92887.113153738843</v>
      </c>
      <c r="AO23" s="480">
        <f t="shared" si="1"/>
        <v>-92886.930425197555</v>
      </c>
      <c r="AP23" s="480">
        <f t="shared" si="2"/>
        <v>0.18272854128736071</v>
      </c>
      <c r="AQ23" s="490"/>
    </row>
    <row r="24" spans="1:43" s="459" customFormat="1" ht="13.7" customHeight="1" x14ac:dyDescent="0.2">
      <c r="A24" s="471">
        <v>800330005</v>
      </c>
      <c r="B24" s="472"/>
      <c r="C24" s="461" t="s">
        <v>618</v>
      </c>
      <c r="D24" s="473">
        <v>-642740.42783137283</v>
      </c>
      <c r="E24" s="474"/>
      <c r="F24" s="473">
        <v>588747.06250814674</v>
      </c>
      <c r="G24" s="473"/>
      <c r="H24" s="473">
        <v>177230.25478360103</v>
      </c>
      <c r="I24" s="473"/>
      <c r="J24" s="473">
        <v>765977.31729174778</v>
      </c>
      <c r="K24" s="475"/>
      <c r="L24" s="473">
        <v>-374143.34988408518</v>
      </c>
      <c r="M24" s="474"/>
      <c r="N24" s="473">
        <v>-358598.03454202908</v>
      </c>
      <c r="O24" s="473"/>
      <c r="P24" s="473">
        <v>-10718.224533150198</v>
      </c>
      <c r="Q24" s="476"/>
      <c r="R24" s="473">
        <v>-9640.9483732993831</v>
      </c>
      <c r="S24" s="475"/>
      <c r="T24" s="473">
        <v>-753100.55733256391</v>
      </c>
      <c r="U24" s="475"/>
      <c r="V24" s="477">
        <v>-1486429.9526456147</v>
      </c>
      <c r="W24" s="475"/>
      <c r="X24" s="473">
        <v>-106658.9177154624</v>
      </c>
      <c r="Y24" s="475"/>
      <c r="Z24" s="473">
        <v>1452</v>
      </c>
      <c r="AA24" s="478"/>
      <c r="AB24" s="477">
        <v>-108110.97894498699</v>
      </c>
      <c r="AC24" s="475"/>
      <c r="AD24" s="477">
        <v>-1594540.9315906018</v>
      </c>
      <c r="AE24" s="479">
        <v>346043.43504222308</v>
      </c>
      <c r="AF24" s="480">
        <v>-1594540.9315906018</v>
      </c>
      <c r="AG24" s="479">
        <v>407316.18000000028</v>
      </c>
      <c r="AH24" s="479">
        <v>827107.40272101387</v>
      </c>
      <c r="AI24" s="480">
        <v>765977.31729174778</v>
      </c>
      <c r="AJ24" s="480">
        <v>-61130.085429266095</v>
      </c>
      <c r="AK24" s="479">
        <v>-1827302.6270703743</v>
      </c>
      <c r="AL24" s="480">
        <v>-753100.55733256391</v>
      </c>
      <c r="AM24" s="480">
        <v>1074202.0697378104</v>
      </c>
      <c r="AN24" s="480">
        <f t="shared" si="0"/>
        <v>-642741.69223983469</v>
      </c>
      <c r="AO24" s="480">
        <f t="shared" si="1"/>
        <v>-642740.42783137283</v>
      </c>
      <c r="AP24" s="480">
        <f t="shared" si="2"/>
        <v>1.264408461865969</v>
      </c>
      <c r="AQ24" s="490"/>
    </row>
    <row r="25" spans="1:43" s="459" customFormat="1" ht="13.7" customHeight="1" x14ac:dyDescent="0.2">
      <c r="A25" s="471">
        <v>800350005</v>
      </c>
      <c r="B25" s="472"/>
      <c r="C25" s="461" t="s">
        <v>619</v>
      </c>
      <c r="D25" s="473">
        <v>-323929.38060150912</v>
      </c>
      <c r="E25" s="474"/>
      <c r="F25" s="473">
        <v>296533.82071377832</v>
      </c>
      <c r="G25" s="473"/>
      <c r="H25" s="473">
        <v>89320.796032082551</v>
      </c>
      <c r="I25" s="473"/>
      <c r="J25" s="473">
        <v>385854.6167458609</v>
      </c>
      <c r="K25" s="475"/>
      <c r="L25" s="473">
        <v>-188561.3823811344</v>
      </c>
      <c r="M25" s="474"/>
      <c r="N25" s="473">
        <v>-180726.82872313968</v>
      </c>
      <c r="O25" s="473"/>
      <c r="P25" s="473">
        <v>-5401.7884729698862</v>
      </c>
      <c r="Q25" s="476"/>
      <c r="R25" s="473">
        <v>-1578.7580786003055</v>
      </c>
      <c r="S25" s="475"/>
      <c r="T25" s="473">
        <v>-376268.75765584427</v>
      </c>
      <c r="U25" s="475"/>
      <c r="V25" s="477">
        <v>-749133.41843551933</v>
      </c>
      <c r="W25" s="475"/>
      <c r="X25" s="473">
        <v>84868.569096334977</v>
      </c>
      <c r="Y25" s="475"/>
      <c r="Z25" s="473">
        <v>620</v>
      </c>
      <c r="AA25" s="478"/>
      <c r="AB25" s="477">
        <v>84248.410665564501</v>
      </c>
      <c r="AC25" s="475"/>
      <c r="AD25" s="477">
        <v>-664885.00776995486</v>
      </c>
      <c r="AE25" s="479">
        <v>208484.50804851507</v>
      </c>
      <c r="AF25" s="480">
        <v>-664885.00776995486</v>
      </c>
      <c r="AG25" s="479">
        <v>205279.88</v>
      </c>
      <c r="AH25" s="479">
        <v>595901.58782560262</v>
      </c>
      <c r="AI25" s="480">
        <v>385854.6167458609</v>
      </c>
      <c r="AJ25" s="480">
        <v>-210046.97107974172</v>
      </c>
      <c r="AK25" s="479">
        <v>-924066.09061685519</v>
      </c>
      <c r="AL25" s="480">
        <v>-376268.75765584427</v>
      </c>
      <c r="AM25" s="480">
        <v>547797.33296101098</v>
      </c>
      <c r="AN25" s="480">
        <f t="shared" si="0"/>
        <v>-323930.01784017053</v>
      </c>
      <c r="AO25" s="480">
        <f t="shared" si="1"/>
        <v>-323929.38060150912</v>
      </c>
      <c r="AP25" s="480">
        <f t="shared" si="2"/>
        <v>0.6372386614093557</v>
      </c>
      <c r="AQ25" s="490"/>
    </row>
    <row r="26" spans="1:43" s="459" customFormat="1" ht="13.7" customHeight="1" x14ac:dyDescent="0.2">
      <c r="A26" s="471">
        <v>800370005</v>
      </c>
      <c r="B26" s="472"/>
      <c r="C26" s="461" t="s">
        <v>620</v>
      </c>
      <c r="D26" s="473">
        <v>-252008.62116917869</v>
      </c>
      <c r="E26" s="474"/>
      <c r="F26" s="473">
        <v>190.03161670356212</v>
      </c>
      <c r="G26" s="473"/>
      <c r="H26" s="473">
        <v>69489.252898209321</v>
      </c>
      <c r="I26" s="473"/>
      <c r="J26" s="473">
        <v>69679.284514912884</v>
      </c>
      <c r="K26" s="475"/>
      <c r="L26" s="473">
        <v>-146695.84429601618</v>
      </c>
      <c r="M26" s="474"/>
      <c r="N26" s="473">
        <v>-140600.76560583702</v>
      </c>
      <c r="O26" s="473"/>
      <c r="P26" s="473">
        <v>-4202.4507390866856</v>
      </c>
      <c r="Q26" s="476"/>
      <c r="R26" s="473">
        <v>-290017.48590024089</v>
      </c>
      <c r="S26" s="475"/>
      <c r="T26" s="473">
        <v>-581516.54654118069</v>
      </c>
      <c r="U26" s="475"/>
      <c r="V26" s="477">
        <v>-582806.28790486767</v>
      </c>
      <c r="W26" s="475"/>
      <c r="X26" s="473">
        <v>-439530.81388100935</v>
      </c>
      <c r="Y26" s="475"/>
      <c r="Z26" s="473">
        <v>1427</v>
      </c>
      <c r="AA26" s="478"/>
      <c r="AB26" s="477">
        <v>-440958.00913811952</v>
      </c>
      <c r="AC26" s="475"/>
      <c r="AD26" s="477">
        <v>-1023764.2970429872</v>
      </c>
      <c r="AE26" s="479">
        <v>187089.31151483118</v>
      </c>
      <c r="AF26" s="480">
        <v>-1023764.2970429872</v>
      </c>
      <c r="AG26" s="479">
        <v>159702.40000000002</v>
      </c>
      <c r="AH26" s="479">
        <v>153153.85971224503</v>
      </c>
      <c r="AI26" s="480">
        <v>69679.284514912884</v>
      </c>
      <c r="AJ26" s="480">
        <v>-83474.575197332146</v>
      </c>
      <c r="AK26" s="479">
        <v>-1409359.390342409</v>
      </c>
      <c r="AL26" s="480">
        <v>-581516.54654118069</v>
      </c>
      <c r="AM26" s="480">
        <v>827842.84380122833</v>
      </c>
      <c r="AN26" s="480">
        <f t="shared" si="0"/>
        <v>-252009.11692425981</v>
      </c>
      <c r="AO26" s="480">
        <f t="shared" si="1"/>
        <v>-252008.62116917869</v>
      </c>
      <c r="AP26" s="480">
        <f t="shared" si="2"/>
        <v>0.49575508112320676</v>
      </c>
      <c r="AQ26" s="490"/>
    </row>
    <row r="27" spans="1:43" s="459" customFormat="1" ht="13.7" customHeight="1" x14ac:dyDescent="0.2">
      <c r="A27" s="471">
        <v>800390005</v>
      </c>
      <c r="B27" s="472"/>
      <c r="C27" s="461" t="s">
        <v>621</v>
      </c>
      <c r="D27" s="473">
        <v>-1145880.8448343636</v>
      </c>
      <c r="E27" s="474"/>
      <c r="F27" s="473">
        <v>40605.989356667298</v>
      </c>
      <c r="G27" s="473"/>
      <c r="H27" s="473">
        <v>315966.98338527861</v>
      </c>
      <c r="I27" s="473"/>
      <c r="J27" s="473">
        <v>356572.97274194588</v>
      </c>
      <c r="K27" s="475"/>
      <c r="L27" s="473">
        <v>-667024.63279128412</v>
      </c>
      <c r="M27" s="474"/>
      <c r="N27" s="473">
        <v>-639310.36696009361</v>
      </c>
      <c r="O27" s="473"/>
      <c r="P27" s="473">
        <v>-19108.504228697377</v>
      </c>
      <c r="Q27" s="476"/>
      <c r="R27" s="473">
        <v>-109451.29976042855</v>
      </c>
      <c r="S27" s="475"/>
      <c r="T27" s="473">
        <v>-1434894.8037405037</v>
      </c>
      <c r="U27" s="475"/>
      <c r="V27" s="477">
        <v>-2650014.7433880172</v>
      </c>
      <c r="W27" s="475"/>
      <c r="X27" s="473">
        <v>-543092.0045989732</v>
      </c>
      <c r="Y27" s="475"/>
      <c r="Z27" s="473">
        <v>4110</v>
      </c>
      <c r="AA27" s="478"/>
      <c r="AB27" s="477">
        <v>-547202.32042666629</v>
      </c>
      <c r="AC27" s="475"/>
      <c r="AD27" s="477">
        <v>-3197217.0638146834</v>
      </c>
      <c r="AE27" s="479">
        <v>817498.26904772571</v>
      </c>
      <c r="AF27" s="480">
        <v>-3197217.0638146834</v>
      </c>
      <c r="AG27" s="479">
        <v>726165.3200000003</v>
      </c>
      <c r="AH27" s="479">
        <v>974209.97504403314</v>
      </c>
      <c r="AI27" s="480">
        <v>356572.97274194588</v>
      </c>
      <c r="AJ27" s="480">
        <v>-617637.00230208726</v>
      </c>
      <c r="AK27" s="479">
        <v>-4012532.8217814649</v>
      </c>
      <c r="AL27" s="480">
        <v>-1434894.8037405037</v>
      </c>
      <c r="AM27" s="480">
        <v>2577638.0180409611</v>
      </c>
      <c r="AN27" s="480">
        <f t="shared" si="0"/>
        <v>-1145883.0990280844</v>
      </c>
      <c r="AO27" s="480">
        <f t="shared" si="1"/>
        <v>-1145880.8448343636</v>
      </c>
      <c r="AP27" s="480">
        <f t="shared" si="2"/>
        <v>2.2541937208734453</v>
      </c>
      <c r="AQ27" s="490"/>
    </row>
    <row r="28" spans="1:43" s="459" customFormat="1" ht="13.7" customHeight="1" x14ac:dyDescent="0.2">
      <c r="A28" s="471">
        <v>800410005</v>
      </c>
      <c r="B28" s="472"/>
      <c r="C28" s="461" t="s">
        <v>622</v>
      </c>
      <c r="D28" s="473">
        <v>-233702.93953208346</v>
      </c>
      <c r="E28" s="474"/>
      <c r="F28" s="473">
        <v>180716.07586271892</v>
      </c>
      <c r="G28" s="473"/>
      <c r="H28" s="473">
        <v>64441.61550051783</v>
      </c>
      <c r="I28" s="473"/>
      <c r="J28" s="473">
        <v>245157.69136323675</v>
      </c>
      <c r="K28" s="475"/>
      <c r="L28" s="473">
        <v>-136039.98891016006</v>
      </c>
      <c r="M28" s="474"/>
      <c r="N28" s="473">
        <v>-130387.65130374947</v>
      </c>
      <c r="O28" s="473"/>
      <c r="P28" s="473">
        <v>-3897.1884628661728</v>
      </c>
      <c r="Q28" s="476"/>
      <c r="R28" s="473">
        <v>-3906.8587534800904</v>
      </c>
      <c r="S28" s="475"/>
      <c r="T28" s="473">
        <v>-274231.68743025581</v>
      </c>
      <c r="U28" s="475"/>
      <c r="V28" s="477">
        <v>-540471.75858207257</v>
      </c>
      <c r="W28" s="475"/>
      <c r="X28" s="473">
        <v>-4749.6578190187865</v>
      </c>
      <c r="Y28" s="475"/>
      <c r="Z28" s="473">
        <v>445</v>
      </c>
      <c r="AA28" s="478"/>
      <c r="AB28" s="477">
        <v>-5195.1563779088292</v>
      </c>
      <c r="AC28" s="475"/>
      <c r="AD28" s="477">
        <v>-545666.91495998134</v>
      </c>
      <c r="AE28" s="479">
        <v>143389.60034933581</v>
      </c>
      <c r="AF28" s="480">
        <v>-545666.91495998134</v>
      </c>
      <c r="AG28" s="479">
        <v>148101.75999999998</v>
      </c>
      <c r="AH28" s="479">
        <v>309896.34749879059</v>
      </c>
      <c r="AI28" s="480">
        <v>245157.69136323675</v>
      </c>
      <c r="AJ28" s="480">
        <v>-64738.656135553843</v>
      </c>
      <c r="AK28" s="479">
        <v>-655646.0189004977</v>
      </c>
      <c r="AL28" s="480">
        <v>-274231.68743025581</v>
      </c>
      <c r="AM28" s="480">
        <v>381414.33147024189</v>
      </c>
      <c r="AN28" s="480">
        <f t="shared" si="0"/>
        <v>-233703.39927595749</v>
      </c>
      <c r="AO28" s="480">
        <f t="shared" si="1"/>
        <v>-233702.93953208346</v>
      </c>
      <c r="AP28" s="480">
        <f t="shared" si="2"/>
        <v>0.45974387403111905</v>
      </c>
      <c r="AQ28" s="490"/>
    </row>
    <row r="29" spans="1:43" s="459" customFormat="1" ht="13.7" customHeight="1" x14ac:dyDescent="0.2">
      <c r="A29" s="471">
        <v>800430005</v>
      </c>
      <c r="B29" s="472"/>
      <c r="C29" s="461" t="s">
        <v>623</v>
      </c>
      <c r="D29" s="473">
        <v>-91683.13000121314</v>
      </c>
      <c r="E29" s="474"/>
      <c r="F29" s="473">
        <v>1598.9660562928329</v>
      </c>
      <c r="G29" s="473"/>
      <c r="H29" s="473">
        <v>25280.85022486878</v>
      </c>
      <c r="I29" s="473"/>
      <c r="J29" s="473">
        <v>26879.816281161613</v>
      </c>
      <c r="K29" s="475"/>
      <c r="L29" s="473">
        <v>-53369.341496457833</v>
      </c>
      <c r="M29" s="474"/>
      <c r="N29" s="473">
        <v>-51151.893976897882</v>
      </c>
      <c r="O29" s="473"/>
      <c r="P29" s="473">
        <v>-1528.8914944569415</v>
      </c>
      <c r="Q29" s="476"/>
      <c r="R29" s="473">
        <v>-180229.63544945786</v>
      </c>
      <c r="S29" s="475"/>
      <c r="T29" s="473">
        <v>-286279.76241727051</v>
      </c>
      <c r="U29" s="475"/>
      <c r="V29" s="477">
        <v>-212030.46313100297</v>
      </c>
      <c r="W29" s="475"/>
      <c r="X29" s="473">
        <v>-131367.49500157958</v>
      </c>
      <c r="Y29" s="475"/>
      <c r="Z29" s="473">
        <v>649</v>
      </c>
      <c r="AA29" s="478"/>
      <c r="AB29" s="477">
        <v>-132016.65877654063</v>
      </c>
      <c r="AC29" s="475"/>
      <c r="AD29" s="477">
        <v>-344047.12190754362</v>
      </c>
      <c r="AE29" s="479">
        <v>93777.52297804784</v>
      </c>
      <c r="AF29" s="480">
        <v>-344047.12190754362</v>
      </c>
      <c r="AG29" s="479">
        <v>58101.25</v>
      </c>
      <c r="AH29" s="479">
        <v>109468.65190590188</v>
      </c>
      <c r="AI29" s="480">
        <v>26879.816281161613</v>
      </c>
      <c r="AJ29" s="480">
        <v>-82588.835624740255</v>
      </c>
      <c r="AK29" s="479">
        <v>-585556.13660988607</v>
      </c>
      <c r="AL29" s="480">
        <v>-286279.76241727051</v>
      </c>
      <c r="AM29" s="480">
        <v>299276.37419261556</v>
      </c>
      <c r="AN29" s="480">
        <f t="shared" si="0"/>
        <v>-91683.310361620446</v>
      </c>
      <c r="AO29" s="480">
        <f t="shared" si="1"/>
        <v>-91683.13000121314</v>
      </c>
      <c r="AP29" s="480">
        <f t="shared" si="2"/>
        <v>0.18036040730657987</v>
      </c>
      <c r="AQ29" s="490"/>
    </row>
    <row r="30" spans="1:43" s="459" customFormat="1" ht="13.7" customHeight="1" x14ac:dyDescent="0.2">
      <c r="A30" s="471">
        <v>800450005</v>
      </c>
      <c r="B30" s="472"/>
      <c r="C30" s="461" t="s">
        <v>624</v>
      </c>
      <c r="D30" s="473">
        <v>-171349.38503451174</v>
      </c>
      <c r="E30" s="474"/>
      <c r="F30" s="473">
        <v>3251.9899836016702</v>
      </c>
      <c r="G30" s="473"/>
      <c r="H30" s="473">
        <v>47248.14847751757</v>
      </c>
      <c r="I30" s="473"/>
      <c r="J30" s="473">
        <v>50500.138461119241</v>
      </c>
      <c r="K30" s="475"/>
      <c r="L30" s="473">
        <v>-99743.58254341771</v>
      </c>
      <c r="M30" s="474"/>
      <c r="N30" s="473">
        <v>-95599.327555418567</v>
      </c>
      <c r="O30" s="473"/>
      <c r="P30" s="473">
        <v>-2857.391729058837</v>
      </c>
      <c r="Q30" s="476"/>
      <c r="R30" s="473">
        <v>-82522.504558366403</v>
      </c>
      <c r="S30" s="475"/>
      <c r="T30" s="473">
        <v>-280722.80638626154</v>
      </c>
      <c r="U30" s="475"/>
      <c r="V30" s="477">
        <v>-396270.16950227751</v>
      </c>
      <c r="W30" s="475"/>
      <c r="X30" s="473">
        <v>-186052.04333683415</v>
      </c>
      <c r="Y30" s="475"/>
      <c r="Z30" s="473">
        <v>717</v>
      </c>
      <c r="AA30" s="478"/>
      <c r="AB30" s="477">
        <v>-186769.28095989645</v>
      </c>
      <c r="AC30" s="475"/>
      <c r="AD30" s="477">
        <v>-583039.4504621739</v>
      </c>
      <c r="AE30" s="479">
        <v>129673.43706968018</v>
      </c>
      <c r="AF30" s="480">
        <v>-583039.4504621739</v>
      </c>
      <c r="AG30" s="479">
        <v>108587.18999999994</v>
      </c>
      <c r="AH30" s="479">
        <v>174008.76135739716</v>
      </c>
      <c r="AI30" s="480">
        <v>50500.138461119241</v>
      </c>
      <c r="AJ30" s="480">
        <v>-123508.62289627793</v>
      </c>
      <c r="AK30" s="479">
        <v>-794834.91055948066</v>
      </c>
      <c r="AL30" s="480">
        <v>-280722.80638626154</v>
      </c>
      <c r="AM30" s="480">
        <v>514112.10417321912</v>
      </c>
      <c r="AN30" s="480">
        <f t="shared" si="0"/>
        <v>-171349.72211555246</v>
      </c>
      <c r="AO30" s="480">
        <f t="shared" si="1"/>
        <v>-171349.38503451174</v>
      </c>
      <c r="AP30" s="480">
        <f t="shared" si="2"/>
        <v>0.33708104072138667</v>
      </c>
      <c r="AQ30" s="490"/>
    </row>
    <row r="31" spans="1:43" s="459" customFormat="1" ht="13.7" customHeight="1" x14ac:dyDescent="0.2">
      <c r="A31" s="471">
        <v>800490005</v>
      </c>
      <c r="B31" s="472"/>
      <c r="C31" s="461" t="s">
        <v>625</v>
      </c>
      <c r="D31" s="473">
        <v>-401537.68557654956</v>
      </c>
      <c r="E31" s="474"/>
      <c r="F31" s="473">
        <v>26662.449408516277</v>
      </c>
      <c r="G31" s="473"/>
      <c r="H31" s="473">
        <v>110720.63190433054</v>
      </c>
      <c r="I31" s="473"/>
      <c r="J31" s="473">
        <v>137383.08131284683</v>
      </c>
      <c r="K31" s="475"/>
      <c r="L31" s="473">
        <v>-233737.67742166558</v>
      </c>
      <c r="M31" s="474"/>
      <c r="N31" s="473">
        <v>-224026.08986046666</v>
      </c>
      <c r="O31" s="473"/>
      <c r="P31" s="473">
        <v>-6695.9707001035986</v>
      </c>
      <c r="Q31" s="476"/>
      <c r="R31" s="473">
        <v>-25184.966694353054</v>
      </c>
      <c r="S31" s="475"/>
      <c r="T31" s="473">
        <v>-489644.70467658888</v>
      </c>
      <c r="U31" s="475"/>
      <c r="V31" s="477">
        <v>-928613.81844424736</v>
      </c>
      <c r="W31" s="475"/>
      <c r="X31" s="473">
        <v>-175236.0199611295</v>
      </c>
      <c r="Y31" s="475"/>
      <c r="Z31" s="473">
        <v>1392</v>
      </c>
      <c r="AA31" s="478"/>
      <c r="AB31" s="477">
        <v>-176627.97662689886</v>
      </c>
      <c r="AC31" s="475"/>
      <c r="AD31" s="477">
        <v>-1105241.7950711462</v>
      </c>
      <c r="AE31" s="479">
        <v>283581.72550415265</v>
      </c>
      <c r="AF31" s="480">
        <v>-1105241.7950711462</v>
      </c>
      <c r="AG31" s="479">
        <v>254461.66000000003</v>
      </c>
      <c r="AH31" s="479">
        <v>269492.3700869928</v>
      </c>
      <c r="AI31" s="480">
        <v>137383.08131284683</v>
      </c>
      <c r="AJ31" s="480">
        <v>-132109.28877414597</v>
      </c>
      <c r="AK31" s="479">
        <v>-1296337.2475303139</v>
      </c>
      <c r="AL31" s="480">
        <v>-489644.70467658888</v>
      </c>
      <c r="AM31" s="480">
        <v>806692.54285372503</v>
      </c>
      <c r="AN31" s="480">
        <f t="shared" si="0"/>
        <v>-401538.47548741463</v>
      </c>
      <c r="AO31" s="480">
        <f t="shared" si="1"/>
        <v>-401537.68557654956</v>
      </c>
      <c r="AP31" s="480">
        <f t="shared" si="2"/>
        <v>0.78991086507448927</v>
      </c>
      <c r="AQ31" s="490"/>
    </row>
    <row r="32" spans="1:43" s="459" customFormat="1" ht="13.7" customHeight="1" x14ac:dyDescent="0.2">
      <c r="A32" s="471">
        <v>800510005</v>
      </c>
      <c r="B32" s="472"/>
      <c r="C32" s="461" t="s">
        <v>626</v>
      </c>
      <c r="D32" s="473">
        <v>-359556.17345539067</v>
      </c>
      <c r="E32" s="474"/>
      <c r="F32" s="473">
        <v>45148.323958190042</v>
      </c>
      <c r="G32" s="473"/>
      <c r="H32" s="473">
        <v>99144.58383382413</v>
      </c>
      <c r="I32" s="473"/>
      <c r="J32" s="473">
        <v>144292.90779201419</v>
      </c>
      <c r="K32" s="475"/>
      <c r="L32" s="473">
        <v>-209299.9683589169</v>
      </c>
      <c r="M32" s="474"/>
      <c r="N32" s="473">
        <v>-200603.74534645455</v>
      </c>
      <c r="O32" s="473"/>
      <c r="P32" s="473">
        <v>-5995.8945049995318</v>
      </c>
      <c r="Q32" s="476"/>
      <c r="R32" s="473">
        <v>-160587.54535006941</v>
      </c>
      <c r="S32" s="475"/>
      <c r="T32" s="473">
        <v>-576487.15356044041</v>
      </c>
      <c r="U32" s="475"/>
      <c r="V32" s="477">
        <v>-831525.51596295822</v>
      </c>
      <c r="W32" s="475"/>
      <c r="X32" s="473">
        <v>-145828.40650128451</v>
      </c>
      <c r="Y32" s="475"/>
      <c r="Z32" s="473">
        <v>1619</v>
      </c>
      <c r="AA32" s="478"/>
      <c r="AB32" s="477">
        <v>-147447.46735619989</v>
      </c>
      <c r="AC32" s="475"/>
      <c r="AD32" s="477">
        <v>-978972.98331915808</v>
      </c>
      <c r="AE32" s="479">
        <v>283853.59325116727</v>
      </c>
      <c r="AF32" s="480">
        <v>-978972.98331915808</v>
      </c>
      <c r="AG32" s="479">
        <v>227857.21999999997</v>
      </c>
      <c r="AH32" s="479">
        <v>328035.07542531769</v>
      </c>
      <c r="AI32" s="480">
        <v>144292.90779201419</v>
      </c>
      <c r="AJ32" s="480">
        <v>-183742.1676333035</v>
      </c>
      <c r="AK32" s="479">
        <v>-1323649.0504821294</v>
      </c>
      <c r="AL32" s="480">
        <v>-576487.15356044041</v>
      </c>
      <c r="AM32" s="480">
        <v>747161.89692168904</v>
      </c>
      <c r="AN32" s="480">
        <f t="shared" si="0"/>
        <v>-359556.88077960524</v>
      </c>
      <c r="AO32" s="480">
        <f t="shared" si="1"/>
        <v>-359556.17345539067</v>
      </c>
      <c r="AP32" s="480">
        <f t="shared" si="2"/>
        <v>0.70732421457068995</v>
      </c>
      <c r="AQ32" s="490"/>
    </row>
    <row r="33" spans="1:43" s="459" customFormat="1" ht="13.7" customHeight="1" x14ac:dyDescent="0.2">
      <c r="A33" s="471">
        <v>800530005</v>
      </c>
      <c r="B33" s="472"/>
      <c r="C33" s="461" t="s">
        <v>627</v>
      </c>
      <c r="D33" s="473">
        <v>-185130.13604150212</v>
      </c>
      <c r="E33" s="474"/>
      <c r="F33" s="473">
        <v>30923.188774683669</v>
      </c>
      <c r="G33" s="473"/>
      <c r="H33" s="473">
        <v>51048.074398342076</v>
      </c>
      <c r="I33" s="473"/>
      <c r="J33" s="473">
        <v>81971.263173025742</v>
      </c>
      <c r="K33" s="475"/>
      <c r="L33" s="473">
        <v>-107765.44661546666</v>
      </c>
      <c r="M33" s="474"/>
      <c r="N33" s="473">
        <v>-103287.89048321426</v>
      </c>
      <c r="O33" s="473"/>
      <c r="P33" s="473">
        <v>-3087.1970705817293</v>
      </c>
      <c r="Q33" s="476"/>
      <c r="R33" s="473">
        <v>-68865.586868253362</v>
      </c>
      <c r="S33" s="475"/>
      <c r="T33" s="473">
        <v>-283006.12103751599</v>
      </c>
      <c r="U33" s="475"/>
      <c r="V33" s="477">
        <v>-428140.14403594082</v>
      </c>
      <c r="W33" s="475"/>
      <c r="X33" s="473">
        <v>-151753.14104578941</v>
      </c>
      <c r="Y33" s="475"/>
      <c r="Z33" s="473">
        <v>608</v>
      </c>
      <c r="AA33" s="478"/>
      <c r="AB33" s="477">
        <v>-152360.83994674648</v>
      </c>
      <c r="AC33" s="475"/>
      <c r="AD33" s="477">
        <v>-580500.98398268735</v>
      </c>
      <c r="AE33" s="479">
        <v>131791.29817830032</v>
      </c>
      <c r="AF33" s="480">
        <v>-580500.98398268735</v>
      </c>
      <c r="AG33" s="479">
        <v>117320.29999999999</v>
      </c>
      <c r="AH33" s="479">
        <v>155556.95116079543</v>
      </c>
      <c r="AI33" s="480">
        <v>81971.263173025742</v>
      </c>
      <c r="AJ33" s="480">
        <v>-73585.687987769692</v>
      </c>
      <c r="AK33" s="479">
        <v>-737491.29459743295</v>
      </c>
      <c r="AL33" s="480">
        <v>-283006.12103751599</v>
      </c>
      <c r="AM33" s="480">
        <v>454485.17355991696</v>
      </c>
      <c r="AN33" s="480">
        <f t="shared" si="0"/>
        <v>-185130.50023223978</v>
      </c>
      <c r="AO33" s="480">
        <f t="shared" si="1"/>
        <v>-185130.13604150212</v>
      </c>
      <c r="AP33" s="480">
        <f t="shared" si="2"/>
        <v>0.36419073765864596</v>
      </c>
      <c r="AQ33" s="490"/>
    </row>
    <row r="34" spans="1:43" s="459" customFormat="1" ht="13.7" customHeight="1" x14ac:dyDescent="0.2">
      <c r="A34" s="471">
        <v>800470005</v>
      </c>
      <c r="B34" s="472"/>
      <c r="C34" s="461" t="s">
        <v>628</v>
      </c>
      <c r="D34" s="473">
        <v>-117947.98272187737</v>
      </c>
      <c r="E34" s="474"/>
      <c r="F34" s="473">
        <v>64401.580205907427</v>
      </c>
      <c r="G34" s="473"/>
      <c r="H34" s="473">
        <v>32523.16195441558</v>
      </c>
      <c r="I34" s="473"/>
      <c r="J34" s="473">
        <v>96924.742160323003</v>
      </c>
      <c r="K34" s="475"/>
      <c r="L34" s="473">
        <v>-68658.281721172592</v>
      </c>
      <c r="M34" s="474"/>
      <c r="N34" s="473">
        <v>-65805.592663542615</v>
      </c>
      <c r="O34" s="473"/>
      <c r="P34" s="473">
        <v>-1966.8794855656272</v>
      </c>
      <c r="Q34" s="476"/>
      <c r="R34" s="473">
        <v>-185006.03142335109</v>
      </c>
      <c r="S34" s="475"/>
      <c r="T34" s="473">
        <v>-321436.78529363195</v>
      </c>
      <c r="U34" s="475"/>
      <c r="V34" s="477">
        <v>-272771.72366995201</v>
      </c>
      <c r="W34" s="475"/>
      <c r="X34" s="473">
        <v>-197379.218628256</v>
      </c>
      <c r="Y34" s="475"/>
      <c r="Z34" s="473">
        <v>507</v>
      </c>
      <c r="AA34" s="478"/>
      <c r="AB34" s="477">
        <v>-197885.95734865317</v>
      </c>
      <c r="AC34" s="475"/>
      <c r="AD34" s="477">
        <v>-470657.68101860519</v>
      </c>
      <c r="AE34" s="479">
        <v>128374.58701508862</v>
      </c>
      <c r="AF34" s="480">
        <v>-470657.68101860519</v>
      </c>
      <c r="AG34" s="479">
        <v>74745.760000000009</v>
      </c>
      <c r="AH34" s="479">
        <v>207596.99541656394</v>
      </c>
      <c r="AI34" s="480">
        <v>96924.742160323003</v>
      </c>
      <c r="AJ34" s="480">
        <v>-110672.25325624093</v>
      </c>
      <c r="AK34" s="479">
        <v>-731189.67780249869</v>
      </c>
      <c r="AL34" s="480">
        <v>-321436.78529363195</v>
      </c>
      <c r="AM34" s="480">
        <v>409752.89250886673</v>
      </c>
      <c r="AN34" s="480">
        <f t="shared" si="0"/>
        <v>-117948.21475089085</v>
      </c>
      <c r="AO34" s="480">
        <f t="shared" si="1"/>
        <v>-117947.98272187737</v>
      </c>
      <c r="AP34" s="480">
        <f t="shared" si="2"/>
        <v>0.23202901348122396</v>
      </c>
      <c r="AQ34" s="490"/>
    </row>
    <row r="35" spans="1:43" s="459" customFormat="1" ht="13.7" customHeight="1" x14ac:dyDescent="0.2">
      <c r="A35" s="471">
        <v>800550005</v>
      </c>
      <c r="B35" s="472"/>
      <c r="C35" s="461" t="s">
        <v>629</v>
      </c>
      <c r="D35" s="473">
        <v>-489122.44691838877</v>
      </c>
      <c r="E35" s="474"/>
      <c r="F35" s="473">
        <v>320219.57925508136</v>
      </c>
      <c r="G35" s="473"/>
      <c r="H35" s="473">
        <v>134871.39151991758</v>
      </c>
      <c r="I35" s="473"/>
      <c r="J35" s="473">
        <v>455090.97077499895</v>
      </c>
      <c r="K35" s="475"/>
      <c r="L35" s="473">
        <v>-284721.33207957842</v>
      </c>
      <c r="M35" s="474"/>
      <c r="N35" s="473">
        <v>-272891.42011359375</v>
      </c>
      <c r="O35" s="473"/>
      <c r="P35" s="473">
        <v>-8156.518531071054</v>
      </c>
      <c r="Q35" s="476"/>
      <c r="R35" s="473">
        <v>-4606.4413755464775</v>
      </c>
      <c r="S35" s="475"/>
      <c r="T35" s="473">
        <v>-570375.71209978976</v>
      </c>
      <c r="U35" s="475"/>
      <c r="V35" s="477">
        <v>-1131166.2128736565</v>
      </c>
      <c r="W35" s="475"/>
      <c r="X35" s="473">
        <v>-149879.17766083468</v>
      </c>
      <c r="Y35" s="475"/>
      <c r="Z35" s="473">
        <v>1167</v>
      </c>
      <c r="AA35" s="478"/>
      <c r="AB35" s="477">
        <v>-151045.69127445013</v>
      </c>
      <c r="AC35" s="475"/>
      <c r="AD35" s="477">
        <v>-1282211.9041481067</v>
      </c>
      <c r="AE35" s="479">
        <v>274367.37783897208</v>
      </c>
      <c r="AF35" s="480">
        <v>-1282211.9041481067</v>
      </c>
      <c r="AG35" s="479">
        <v>309965.70000000007</v>
      </c>
      <c r="AH35" s="479">
        <v>421740.45718176599</v>
      </c>
      <c r="AI35" s="480">
        <v>455090.97077499895</v>
      </c>
      <c r="AJ35" s="480">
        <v>33350.513593232958</v>
      </c>
      <c r="AK35" s="479">
        <v>-1365712.0156884016</v>
      </c>
      <c r="AL35" s="480">
        <v>-570375.71209978976</v>
      </c>
      <c r="AM35" s="480">
        <v>795336.30358861189</v>
      </c>
      <c r="AN35" s="480">
        <f t="shared" si="0"/>
        <v>-489123.40912728978</v>
      </c>
      <c r="AO35" s="480">
        <f t="shared" si="1"/>
        <v>-489122.44691838877</v>
      </c>
      <c r="AP35" s="480">
        <f t="shared" si="2"/>
        <v>0.96220890100812539</v>
      </c>
      <c r="AQ35" s="490"/>
    </row>
    <row r="36" spans="1:43" s="459" customFormat="1" ht="13.7" customHeight="1" x14ac:dyDescent="0.2">
      <c r="A36" s="471">
        <v>800570005</v>
      </c>
      <c r="B36" s="472"/>
      <c r="C36" s="461" t="s">
        <v>630</v>
      </c>
      <c r="D36" s="473">
        <v>-132573.22607081805</v>
      </c>
      <c r="E36" s="474"/>
      <c r="F36" s="473">
        <v>17086.23421831978</v>
      </c>
      <c r="G36" s="473"/>
      <c r="H36" s="473">
        <v>36555.94951960817</v>
      </c>
      <c r="I36" s="473"/>
      <c r="J36" s="473">
        <v>53642.183737927946</v>
      </c>
      <c r="K36" s="475"/>
      <c r="L36" s="473">
        <v>-77171.730233980634</v>
      </c>
      <c r="M36" s="474"/>
      <c r="N36" s="473">
        <v>-73965.315146418652</v>
      </c>
      <c r="O36" s="473"/>
      <c r="P36" s="473">
        <v>-2210.7674304935817</v>
      </c>
      <c r="Q36" s="476"/>
      <c r="R36" s="473">
        <v>-57653.385268358375</v>
      </c>
      <c r="S36" s="475"/>
      <c r="T36" s="473">
        <v>-211001.19807925122</v>
      </c>
      <c r="U36" s="475"/>
      <c r="V36" s="477">
        <v>-306594.70855974016</v>
      </c>
      <c r="W36" s="475"/>
      <c r="X36" s="473">
        <v>-109305.21434081675</v>
      </c>
      <c r="Y36" s="475"/>
      <c r="Z36" s="473">
        <v>521</v>
      </c>
      <c r="AA36" s="478"/>
      <c r="AB36" s="477">
        <v>-109826.65240887184</v>
      </c>
      <c r="AC36" s="475"/>
      <c r="AD36" s="477">
        <v>-416421.36096861202</v>
      </c>
      <c r="AE36" s="479">
        <v>109658.68877928088</v>
      </c>
      <c r="AF36" s="480">
        <v>-416421.36096861202</v>
      </c>
      <c r="AG36" s="479">
        <v>84014.039999999979</v>
      </c>
      <c r="AH36" s="479">
        <v>123932.95317130284</v>
      </c>
      <c r="AI36" s="480">
        <v>53642.183737927946</v>
      </c>
      <c r="AJ36" s="480">
        <v>-70290.769433374895</v>
      </c>
      <c r="AK36" s="479">
        <v>-539495.19283113093</v>
      </c>
      <c r="AL36" s="480">
        <v>-211001.19807925122</v>
      </c>
      <c r="AM36" s="480">
        <v>328493.99475187971</v>
      </c>
      <c r="AN36" s="480">
        <f t="shared" si="0"/>
        <v>-132573.48687082634</v>
      </c>
      <c r="AO36" s="480">
        <f t="shared" si="1"/>
        <v>-132573.22607081805</v>
      </c>
      <c r="AP36" s="480">
        <f t="shared" si="2"/>
        <v>0.26080000828369521</v>
      </c>
      <c r="AQ36" s="490"/>
    </row>
    <row r="37" spans="1:43" s="459" customFormat="1" ht="13.7" customHeight="1" x14ac:dyDescent="0.2">
      <c r="A37" s="471">
        <v>800590005</v>
      </c>
      <c r="B37" s="472"/>
      <c r="C37" s="461" t="s">
        <v>631</v>
      </c>
      <c r="D37" s="473">
        <v>-185923.67512052381</v>
      </c>
      <c r="E37" s="474"/>
      <c r="F37" s="473">
        <v>205577.27562639726</v>
      </c>
      <c r="G37" s="473"/>
      <c r="H37" s="473">
        <v>51266.886109984807</v>
      </c>
      <c r="I37" s="473"/>
      <c r="J37" s="473">
        <v>256844.16173638206</v>
      </c>
      <c r="K37" s="475"/>
      <c r="L37" s="473">
        <v>-108227.37083313389</v>
      </c>
      <c r="M37" s="474"/>
      <c r="N37" s="473">
        <v>-103730.62217045165</v>
      </c>
      <c r="O37" s="473"/>
      <c r="P37" s="473">
        <v>-3100.4299864782461</v>
      </c>
      <c r="Q37" s="476"/>
      <c r="R37" s="473">
        <v>-171952.99957336416</v>
      </c>
      <c r="S37" s="475"/>
      <c r="T37" s="473">
        <v>-387011.42256342794</v>
      </c>
      <c r="U37" s="475"/>
      <c r="V37" s="477">
        <v>-429975.31762169529</v>
      </c>
      <c r="W37" s="475"/>
      <c r="X37" s="473">
        <v>-177504.02519468803</v>
      </c>
      <c r="Y37" s="475"/>
      <c r="Z37" s="473">
        <v>264</v>
      </c>
      <c r="AA37" s="478"/>
      <c r="AB37" s="477">
        <v>-177767.65081987047</v>
      </c>
      <c r="AC37" s="475"/>
      <c r="AD37" s="477">
        <v>-607742.96844156575</v>
      </c>
      <c r="AE37" s="479">
        <v>93121.897624349018</v>
      </c>
      <c r="AF37" s="480">
        <v>-607742.96844156575</v>
      </c>
      <c r="AG37" s="479">
        <v>117823.18</v>
      </c>
      <c r="AH37" s="479">
        <v>298949.82975618425</v>
      </c>
      <c r="AI37" s="480">
        <v>256844.16173638206</v>
      </c>
      <c r="AJ37" s="480">
        <v>-42105.668019802193</v>
      </c>
      <c r="AK37" s="479">
        <v>-875637.30052812351</v>
      </c>
      <c r="AL37" s="480">
        <v>-387011.42256342794</v>
      </c>
      <c r="AM37" s="480">
        <v>488625.87796469557</v>
      </c>
      <c r="AN37" s="480">
        <f t="shared" si="0"/>
        <v>-185924.04087232333</v>
      </c>
      <c r="AO37" s="480">
        <f t="shared" si="1"/>
        <v>-185923.67512052381</v>
      </c>
      <c r="AP37" s="480">
        <f t="shared" si="2"/>
        <v>0.365751799516147</v>
      </c>
      <c r="AQ37" s="490"/>
    </row>
    <row r="38" spans="1:43" s="459" customFormat="1" ht="13.7" customHeight="1" x14ac:dyDescent="0.2">
      <c r="A38" s="471">
        <v>800610005</v>
      </c>
      <c r="B38" s="472"/>
      <c r="C38" s="461" t="s">
        <v>632</v>
      </c>
      <c r="D38" s="473">
        <v>-467215.41579889867</v>
      </c>
      <c r="E38" s="474"/>
      <c r="F38" s="473">
        <v>334117.62417881674</v>
      </c>
      <c r="G38" s="473"/>
      <c r="H38" s="473">
        <v>128830.71236121039</v>
      </c>
      <c r="I38" s="473"/>
      <c r="J38" s="473">
        <v>462948.33654002711</v>
      </c>
      <c r="K38" s="475"/>
      <c r="L38" s="473">
        <v>-271969.10792477342</v>
      </c>
      <c r="M38" s="474"/>
      <c r="N38" s="473">
        <v>-260669.03925510938</v>
      </c>
      <c r="O38" s="473"/>
      <c r="P38" s="473">
        <v>-7791.2007943516728</v>
      </c>
      <c r="Q38" s="476"/>
      <c r="R38" s="473">
        <v>-102339.01461906642</v>
      </c>
      <c r="S38" s="475"/>
      <c r="T38" s="473">
        <v>-642768.36259330076</v>
      </c>
      <c r="U38" s="475"/>
      <c r="V38" s="477">
        <v>-1080503.0433894852</v>
      </c>
      <c r="W38" s="475"/>
      <c r="X38" s="473">
        <v>-200624.67305451812</v>
      </c>
      <c r="Y38" s="475"/>
      <c r="Z38" s="473">
        <v>1113</v>
      </c>
      <c r="AA38" s="478"/>
      <c r="AB38" s="477">
        <v>-201737.44098887252</v>
      </c>
      <c r="AC38" s="475"/>
      <c r="AD38" s="477">
        <v>-1282240.4843783577</v>
      </c>
      <c r="AE38" s="479">
        <v>362726.57283256046</v>
      </c>
      <c r="AF38" s="480">
        <v>-1282240.4843783577</v>
      </c>
      <c r="AG38" s="479">
        <v>296082.81999999972</v>
      </c>
      <c r="AH38" s="479">
        <v>854530.13191580633</v>
      </c>
      <c r="AI38" s="480">
        <v>462948.33654002711</v>
      </c>
      <c r="AJ38" s="480">
        <v>-391581.79537577921</v>
      </c>
      <c r="AK38" s="479">
        <v>-1782730.5546029124</v>
      </c>
      <c r="AL38" s="480">
        <v>-642768.36259330076</v>
      </c>
      <c r="AM38" s="480">
        <v>1139962.1920096115</v>
      </c>
      <c r="AN38" s="480">
        <f t="shared" si="0"/>
        <v>-467216.33491196483</v>
      </c>
      <c r="AO38" s="480">
        <f t="shared" si="1"/>
        <v>-467215.41579889867</v>
      </c>
      <c r="AP38" s="480">
        <f t="shared" si="2"/>
        <v>0.91911306616384536</v>
      </c>
      <c r="AQ38" s="490"/>
    </row>
    <row r="39" spans="1:43" s="459" customFormat="1" ht="13.7" customHeight="1" x14ac:dyDescent="0.2">
      <c r="A39" s="471">
        <v>800630005</v>
      </c>
      <c r="B39" s="472"/>
      <c r="C39" s="461" t="s">
        <v>633</v>
      </c>
      <c r="D39" s="473">
        <v>-105250.03194681894</v>
      </c>
      <c r="E39" s="474"/>
      <c r="F39" s="473">
        <v>13807.136595819738</v>
      </c>
      <c r="G39" s="473"/>
      <c r="H39" s="473">
        <v>29021.809069727187</v>
      </c>
      <c r="I39" s="473"/>
      <c r="J39" s="473">
        <v>42828.945665546926</v>
      </c>
      <c r="K39" s="475"/>
      <c r="L39" s="473">
        <v>-61266.722650159878</v>
      </c>
      <c r="M39" s="474"/>
      <c r="N39" s="473">
        <v>-58721.1461381997</v>
      </c>
      <c r="O39" s="473"/>
      <c r="P39" s="473">
        <v>-1755.1307272415727</v>
      </c>
      <c r="Q39" s="476"/>
      <c r="R39" s="473">
        <v>-3514.4982015466771</v>
      </c>
      <c r="S39" s="475"/>
      <c r="T39" s="473">
        <v>-125257.49771714782</v>
      </c>
      <c r="U39" s="475"/>
      <c r="V39" s="477">
        <v>-243405.88086315984</v>
      </c>
      <c r="W39" s="475"/>
      <c r="X39" s="473">
        <v>-69532.615497878025</v>
      </c>
      <c r="Y39" s="475"/>
      <c r="Z39" s="473">
        <v>354</v>
      </c>
      <c r="AA39" s="478"/>
      <c r="AB39" s="477">
        <v>-69887.09594903636</v>
      </c>
      <c r="AC39" s="475"/>
      <c r="AD39" s="477">
        <v>-313292.9768121962</v>
      </c>
      <c r="AE39" s="479">
        <v>71571.929584269237</v>
      </c>
      <c r="AF39" s="480">
        <v>-313292.9768121962</v>
      </c>
      <c r="AG39" s="479">
        <v>66698.84</v>
      </c>
      <c r="AH39" s="479">
        <v>67914.584776078074</v>
      </c>
      <c r="AI39" s="480">
        <v>42828.945665546926</v>
      </c>
      <c r="AJ39" s="480">
        <v>-25085.639110531149</v>
      </c>
      <c r="AK39" s="479">
        <v>-353512.78505936969</v>
      </c>
      <c r="AL39" s="480">
        <v>-125257.49771714782</v>
      </c>
      <c r="AM39" s="480">
        <v>228255.28734222188</v>
      </c>
      <c r="AN39" s="480">
        <f t="shared" si="0"/>
        <v>-105250.23899623624</v>
      </c>
      <c r="AO39" s="480">
        <f t="shared" si="1"/>
        <v>-105250.03194681894</v>
      </c>
      <c r="AP39" s="480">
        <f t="shared" si="2"/>
        <v>0.20704941729491111</v>
      </c>
      <c r="AQ39" s="490"/>
    </row>
    <row r="40" spans="1:43" s="459" customFormat="1" ht="13.7" customHeight="1" x14ac:dyDescent="0.2">
      <c r="A40" s="471">
        <v>800650005</v>
      </c>
      <c r="B40" s="472"/>
      <c r="C40" s="461" t="s">
        <v>634</v>
      </c>
      <c r="D40" s="473">
        <v>-76645.984198810213</v>
      </c>
      <c r="E40" s="474"/>
      <c r="F40" s="473">
        <v>6304.6543896324965</v>
      </c>
      <c r="G40" s="473"/>
      <c r="H40" s="473">
        <v>21134.484030400588</v>
      </c>
      <c r="I40" s="473"/>
      <c r="J40" s="473">
        <v>27439.138420033087</v>
      </c>
      <c r="K40" s="475"/>
      <c r="L40" s="473">
        <v>-44616.121907970286</v>
      </c>
      <c r="M40" s="474"/>
      <c r="N40" s="473">
        <v>-42762.362688104709</v>
      </c>
      <c r="O40" s="473"/>
      <c r="P40" s="473">
        <v>-1278.134737811542</v>
      </c>
      <c r="Q40" s="476"/>
      <c r="R40" s="473">
        <v>-47844.915732209331</v>
      </c>
      <c r="S40" s="475"/>
      <c r="T40" s="473">
        <v>-136501.53506609588</v>
      </c>
      <c r="U40" s="475"/>
      <c r="V40" s="477">
        <v>-177254.89440194974</v>
      </c>
      <c r="W40" s="475"/>
      <c r="X40" s="473">
        <v>-125482.9305052711</v>
      </c>
      <c r="Y40" s="475"/>
      <c r="Z40" s="473">
        <v>285</v>
      </c>
      <c r="AA40" s="478"/>
      <c r="AB40" s="477">
        <v>-125767.99836704865</v>
      </c>
      <c r="AC40" s="475"/>
      <c r="AD40" s="477">
        <v>-303022.8927689984</v>
      </c>
      <c r="AE40" s="479">
        <v>57755.993113334618</v>
      </c>
      <c r="AF40" s="480">
        <v>-303022.8927689984</v>
      </c>
      <c r="AG40" s="479">
        <v>48571.939999999973</v>
      </c>
      <c r="AH40" s="479">
        <v>56316.775987601926</v>
      </c>
      <c r="AI40" s="480">
        <v>27439.138420033087</v>
      </c>
      <c r="AJ40" s="480">
        <v>-28877.63756756884</v>
      </c>
      <c r="AK40" s="479">
        <v>-382571.87731140625</v>
      </c>
      <c r="AL40" s="480">
        <v>-136501.53506609588</v>
      </c>
      <c r="AM40" s="480">
        <v>246070.34224531037</v>
      </c>
      <c r="AN40" s="480">
        <f t="shared" si="0"/>
        <v>-76646.134977922251</v>
      </c>
      <c r="AO40" s="480">
        <f t="shared" si="1"/>
        <v>-76645.984198810213</v>
      </c>
      <c r="AP40" s="480">
        <f t="shared" si="2"/>
        <v>0.15077911203843541</v>
      </c>
      <c r="AQ40" s="490"/>
    </row>
    <row r="41" spans="1:43" s="459" customFormat="1" ht="13.7" customHeight="1" x14ac:dyDescent="0.2">
      <c r="A41" s="471">
        <v>800670005</v>
      </c>
      <c r="B41" s="472"/>
      <c r="C41" s="461" t="s">
        <v>635</v>
      </c>
      <c r="D41" s="473">
        <v>-212550.70786309603</v>
      </c>
      <c r="E41" s="474"/>
      <c r="F41" s="473">
        <v>229713.43391177332</v>
      </c>
      <c r="G41" s="473"/>
      <c r="H41" s="473">
        <v>58609.065927457639</v>
      </c>
      <c r="I41" s="473"/>
      <c r="J41" s="473">
        <v>288322.49983923096</v>
      </c>
      <c r="K41" s="475"/>
      <c r="L41" s="473">
        <v>-123727.1383853204</v>
      </c>
      <c r="M41" s="474"/>
      <c r="N41" s="473">
        <v>-118586.38850117597</v>
      </c>
      <c r="O41" s="473"/>
      <c r="P41" s="473">
        <v>-3544.4576269199119</v>
      </c>
      <c r="Q41" s="476"/>
      <c r="R41" s="473">
        <v>-3883.8363520265848</v>
      </c>
      <c r="S41" s="475"/>
      <c r="T41" s="473">
        <v>-249741.82086544286</v>
      </c>
      <c r="U41" s="475"/>
      <c r="V41" s="477">
        <v>-491554.17170463578</v>
      </c>
      <c r="W41" s="475"/>
      <c r="X41" s="473">
        <v>17577.779865120814</v>
      </c>
      <c r="Y41" s="475"/>
      <c r="Z41" s="473">
        <v>478</v>
      </c>
      <c r="AA41" s="478"/>
      <c r="AB41" s="477">
        <v>17100.021267668333</v>
      </c>
      <c r="AC41" s="475"/>
      <c r="AD41" s="477">
        <v>-474454.15043696744</v>
      </c>
      <c r="AE41" s="479">
        <v>131835.03177827274</v>
      </c>
      <c r="AF41" s="480">
        <v>-474454.15043696744</v>
      </c>
      <c r="AG41" s="479">
        <v>134697.21000000002</v>
      </c>
      <c r="AH41" s="479">
        <v>458996.63405275275</v>
      </c>
      <c r="AI41" s="480">
        <v>288322.49983923096</v>
      </c>
      <c r="AJ41" s="480">
        <v>-170674.13421352179</v>
      </c>
      <c r="AK41" s="479">
        <v>-685181.15774167178</v>
      </c>
      <c r="AL41" s="480">
        <v>-249741.82086544286</v>
      </c>
      <c r="AM41" s="480">
        <v>435439.33687622892</v>
      </c>
      <c r="AN41" s="480">
        <f t="shared" si="0"/>
        <v>-212551.12599598756</v>
      </c>
      <c r="AO41" s="480">
        <f t="shared" si="1"/>
        <v>-212550.70786309603</v>
      </c>
      <c r="AP41" s="480">
        <f t="shared" si="2"/>
        <v>0.41813289152923971</v>
      </c>
      <c r="AQ41" s="490"/>
    </row>
    <row r="42" spans="1:43" s="459" customFormat="1" ht="13.7" customHeight="1" x14ac:dyDescent="0.2">
      <c r="A42" s="471">
        <v>800690005</v>
      </c>
      <c r="B42" s="472"/>
      <c r="C42" s="461" t="s">
        <v>636</v>
      </c>
      <c r="D42" s="473">
        <v>-324594.67651923583</v>
      </c>
      <c r="E42" s="474"/>
      <c r="F42" s="473">
        <v>0</v>
      </c>
      <c r="G42" s="473"/>
      <c r="H42" s="473">
        <v>89504.245773065893</v>
      </c>
      <c r="I42" s="473"/>
      <c r="J42" s="473">
        <v>89504.245773065893</v>
      </c>
      <c r="K42" s="475"/>
      <c r="L42" s="473">
        <v>-188948.65542721044</v>
      </c>
      <c r="M42" s="474"/>
      <c r="N42" s="473">
        <v>-181098.01092695809</v>
      </c>
      <c r="O42" s="473"/>
      <c r="P42" s="473">
        <v>-5412.8828288224386</v>
      </c>
      <c r="Q42" s="476"/>
      <c r="R42" s="473">
        <v>-124079.80917818645</v>
      </c>
      <c r="S42" s="475"/>
      <c r="T42" s="473">
        <v>-499539.35836117744</v>
      </c>
      <c r="U42" s="475"/>
      <c r="V42" s="477">
        <v>-750672.01121210633</v>
      </c>
      <c r="W42" s="475"/>
      <c r="X42" s="473">
        <v>-284261.17729221535</v>
      </c>
      <c r="Y42" s="475"/>
      <c r="Z42" s="473">
        <v>1339</v>
      </c>
      <c r="AA42" s="478"/>
      <c r="AB42" s="477">
        <v>-285600.60440653877</v>
      </c>
      <c r="AC42" s="475"/>
      <c r="AD42" s="477">
        <v>-1036272.6156186451</v>
      </c>
      <c r="AE42" s="479">
        <v>243450.94114852624</v>
      </c>
      <c r="AF42" s="480">
        <v>-1036272.6156186451</v>
      </c>
      <c r="AG42" s="479">
        <v>205701.49000000005</v>
      </c>
      <c r="AH42" s="479">
        <v>193914.69528811943</v>
      </c>
      <c r="AI42" s="480">
        <v>89504.245773065893</v>
      </c>
      <c r="AJ42" s="480">
        <v>-104410.44951505354</v>
      </c>
      <c r="AK42" s="479">
        <v>-1277877.6572796728</v>
      </c>
      <c r="AL42" s="480">
        <v>-499539.35836117744</v>
      </c>
      <c r="AM42" s="480">
        <v>778338.29891849542</v>
      </c>
      <c r="AN42" s="480">
        <f t="shared" si="0"/>
        <v>-324595.31506667705</v>
      </c>
      <c r="AO42" s="480">
        <f t="shared" si="1"/>
        <v>-324594.67651923583</v>
      </c>
      <c r="AP42" s="480">
        <f t="shared" si="2"/>
        <v>0.63854744122363627</v>
      </c>
      <c r="AQ42" s="490"/>
    </row>
    <row r="43" spans="1:43" s="459" customFormat="1" ht="13.7" customHeight="1" x14ac:dyDescent="0.2">
      <c r="A43" s="471">
        <v>800710005</v>
      </c>
      <c r="B43" s="472"/>
      <c r="C43" s="461" t="s">
        <v>637</v>
      </c>
      <c r="D43" s="473">
        <v>-82167.525304849216</v>
      </c>
      <c r="E43" s="474"/>
      <c r="F43" s="473">
        <v>97400.297576775352</v>
      </c>
      <c r="G43" s="473"/>
      <c r="H43" s="473">
        <v>22657.002444752077</v>
      </c>
      <c r="I43" s="473"/>
      <c r="J43" s="473">
        <v>120057.30002152742</v>
      </c>
      <c r="K43" s="475"/>
      <c r="L43" s="473">
        <v>-47830.246609766851</v>
      </c>
      <c r="M43" s="474"/>
      <c r="N43" s="473">
        <v>-45842.94343661813</v>
      </c>
      <c r="O43" s="473"/>
      <c r="P43" s="473">
        <v>-1370.2109707368979</v>
      </c>
      <c r="Q43" s="476"/>
      <c r="R43" s="473">
        <v>-31185.091620662482</v>
      </c>
      <c r="S43" s="475"/>
      <c r="T43" s="473">
        <v>-126228.49263778437</v>
      </c>
      <c r="U43" s="475"/>
      <c r="V43" s="477">
        <v>-190024.25467460655</v>
      </c>
      <c r="W43" s="475"/>
      <c r="X43" s="473">
        <v>-51387.321803937026</v>
      </c>
      <c r="Y43" s="475"/>
      <c r="Z43" s="473">
        <v>66</v>
      </c>
      <c r="AA43" s="478"/>
      <c r="AB43" s="477">
        <v>-51453.449726691149</v>
      </c>
      <c r="AC43" s="475"/>
      <c r="AD43" s="477">
        <v>-241477.7044012977</v>
      </c>
      <c r="AE43" s="479">
        <v>55712.441260078791</v>
      </c>
      <c r="AF43" s="480">
        <v>-241477.7044012977</v>
      </c>
      <c r="AG43" s="479">
        <v>52071.040000000008</v>
      </c>
      <c r="AH43" s="479">
        <v>193802.84477368667</v>
      </c>
      <c r="AI43" s="480">
        <v>120057.30002152742</v>
      </c>
      <c r="AJ43" s="480">
        <v>-73745.544752159243</v>
      </c>
      <c r="AK43" s="479">
        <v>-355642.65358514403</v>
      </c>
      <c r="AL43" s="480">
        <v>-126228.49263778437</v>
      </c>
      <c r="AM43" s="480">
        <v>229414.16094735966</v>
      </c>
      <c r="AN43" s="480">
        <f t="shared" si="0"/>
        <v>-82167.686946018512</v>
      </c>
      <c r="AO43" s="480">
        <f t="shared" si="1"/>
        <v>-82167.525304849216</v>
      </c>
      <c r="AP43" s="480">
        <f t="shared" si="2"/>
        <v>0.16164116929576267</v>
      </c>
      <c r="AQ43" s="490"/>
    </row>
    <row r="44" spans="1:43" s="459" customFormat="1" ht="13.7" customHeight="1" x14ac:dyDescent="0.2">
      <c r="A44" s="471">
        <v>800730005</v>
      </c>
      <c r="B44" s="472"/>
      <c r="C44" s="461" t="s">
        <v>638</v>
      </c>
      <c r="D44" s="473">
        <v>-73518.189197831671</v>
      </c>
      <c r="E44" s="474"/>
      <c r="F44" s="473">
        <v>25622.930663153318</v>
      </c>
      <c r="G44" s="473"/>
      <c r="H44" s="473">
        <v>20272.020925652905</v>
      </c>
      <c r="I44" s="473"/>
      <c r="J44" s="473">
        <v>45894.951588806223</v>
      </c>
      <c r="K44" s="475"/>
      <c r="L44" s="473">
        <v>-42795.412257940581</v>
      </c>
      <c r="M44" s="474"/>
      <c r="N44" s="473">
        <v>-41017.301865362206</v>
      </c>
      <c r="O44" s="473"/>
      <c r="P44" s="473">
        <v>-1225.9761872326324</v>
      </c>
      <c r="Q44" s="476"/>
      <c r="R44" s="473">
        <v>-27823.720491256296</v>
      </c>
      <c r="S44" s="475"/>
      <c r="T44" s="473">
        <v>-112862.4108017917</v>
      </c>
      <c r="U44" s="475"/>
      <c r="V44" s="477">
        <v>-170021.41728759359</v>
      </c>
      <c r="W44" s="475"/>
      <c r="X44" s="473">
        <v>-110579.77306093882</v>
      </c>
      <c r="Y44" s="475"/>
      <c r="Z44" s="473">
        <v>245</v>
      </c>
      <c r="AA44" s="478"/>
      <c r="AB44" s="477">
        <v>-110824.96386787167</v>
      </c>
      <c r="AC44" s="475"/>
      <c r="AD44" s="477">
        <v>-280846.38115546526</v>
      </c>
      <c r="AE44" s="479">
        <v>42907.394646514862</v>
      </c>
      <c r="AF44" s="480">
        <v>-280846.38115546526</v>
      </c>
      <c r="AG44" s="479">
        <v>46589.799999999974</v>
      </c>
      <c r="AH44" s="479">
        <v>34176.800957240353</v>
      </c>
      <c r="AI44" s="480">
        <v>45894.951588806223</v>
      </c>
      <c r="AJ44" s="480">
        <v>11718.15063156587</v>
      </c>
      <c r="AK44" s="479">
        <v>-312154.712855277</v>
      </c>
      <c r="AL44" s="480">
        <v>-112862.4108017917</v>
      </c>
      <c r="AM44" s="480">
        <v>199292.3020534853</v>
      </c>
      <c r="AN44" s="480">
        <f t="shared" si="0"/>
        <v>-73518.333823899215</v>
      </c>
      <c r="AO44" s="480">
        <f t="shared" si="1"/>
        <v>-73518.189197831671</v>
      </c>
      <c r="AP44" s="480">
        <f t="shared" si="2"/>
        <v>0.14462606754386798</v>
      </c>
      <c r="AQ44" s="490"/>
    </row>
    <row r="45" spans="1:43" s="459" customFormat="1" ht="13.7" customHeight="1" x14ac:dyDescent="0.2">
      <c r="A45" s="471">
        <v>800750005</v>
      </c>
      <c r="B45" s="472"/>
      <c r="C45" s="461" t="s">
        <v>639</v>
      </c>
      <c r="D45" s="473">
        <v>-45127.359315630769</v>
      </c>
      <c r="E45" s="474"/>
      <c r="F45" s="473">
        <v>34254.669853483269</v>
      </c>
      <c r="G45" s="473"/>
      <c r="H45" s="473">
        <v>12443.488915433001</v>
      </c>
      <c r="I45" s="473"/>
      <c r="J45" s="473">
        <v>46698.15876891627</v>
      </c>
      <c r="K45" s="475"/>
      <c r="L45" s="473">
        <v>-26268.927011080323</v>
      </c>
      <c r="M45" s="474"/>
      <c r="N45" s="473">
        <v>-25177.477024835174</v>
      </c>
      <c r="O45" s="473"/>
      <c r="P45" s="473">
        <v>-752.5357808362038</v>
      </c>
      <c r="Q45" s="476"/>
      <c r="R45" s="473">
        <v>-35170.963607791578</v>
      </c>
      <c r="S45" s="475"/>
      <c r="T45" s="473">
        <v>-87369.90342454327</v>
      </c>
      <c r="U45" s="475"/>
      <c r="V45" s="477">
        <v>-104363.52789707077</v>
      </c>
      <c r="W45" s="475"/>
      <c r="X45" s="473">
        <v>-72237.396049216142</v>
      </c>
      <c r="Y45" s="475"/>
      <c r="Z45" s="473">
        <v>221</v>
      </c>
      <c r="AA45" s="478"/>
      <c r="AB45" s="477">
        <v>-72458.813267259058</v>
      </c>
      <c r="AC45" s="475"/>
      <c r="AD45" s="477">
        <v>-176822.34116432985</v>
      </c>
      <c r="AE45" s="479">
        <v>27003.51009204939</v>
      </c>
      <c r="AF45" s="480">
        <v>-176822.34116432985</v>
      </c>
      <c r="AG45" s="479">
        <v>28598.01999999999</v>
      </c>
      <c r="AH45" s="479">
        <v>67717.514358463217</v>
      </c>
      <c r="AI45" s="480">
        <v>46698.15876891627</v>
      </c>
      <c r="AJ45" s="480">
        <v>-21019.355589546947</v>
      </c>
      <c r="AK45" s="479">
        <v>-241678.66199553219</v>
      </c>
      <c r="AL45" s="480">
        <v>-87369.90342454327</v>
      </c>
      <c r="AM45" s="480">
        <v>154308.75857098892</v>
      </c>
      <c r="AN45" s="480">
        <f t="shared" si="0"/>
        <v>-45127.448090838472</v>
      </c>
      <c r="AO45" s="480">
        <f t="shared" si="1"/>
        <v>-45127.359315630769</v>
      </c>
      <c r="AP45" s="480">
        <f t="shared" si="2"/>
        <v>8.8775207703292836E-2</v>
      </c>
      <c r="AQ45" s="490"/>
    </row>
    <row r="46" spans="1:43" s="459" customFormat="1" ht="13.7" customHeight="1" x14ac:dyDescent="0.2">
      <c r="A46" s="471">
        <v>800770005</v>
      </c>
      <c r="B46" s="472"/>
      <c r="C46" s="461" t="s">
        <v>640</v>
      </c>
      <c r="D46" s="473">
        <v>-172265.3129358548</v>
      </c>
      <c r="E46" s="474"/>
      <c r="F46" s="473">
        <v>144017.90903304677</v>
      </c>
      <c r="G46" s="473"/>
      <c r="H46" s="473">
        <v>47500.707875198757</v>
      </c>
      <c r="I46" s="473"/>
      <c r="J46" s="473">
        <v>191518.61690824555</v>
      </c>
      <c r="K46" s="475"/>
      <c r="L46" s="473">
        <v>-100276.75008418846</v>
      </c>
      <c r="M46" s="474"/>
      <c r="N46" s="473">
        <v>-96110.342470587406</v>
      </c>
      <c r="O46" s="473"/>
      <c r="P46" s="473">
        <v>-2872.6655790886157</v>
      </c>
      <c r="Q46" s="476"/>
      <c r="R46" s="473">
        <v>-39641.313514642381</v>
      </c>
      <c r="S46" s="475"/>
      <c r="T46" s="473">
        <v>-238901.07164850688</v>
      </c>
      <c r="U46" s="475"/>
      <c r="V46" s="477">
        <v>-398388.38489385293</v>
      </c>
      <c r="W46" s="475"/>
      <c r="X46" s="473">
        <v>-60397.577035777198</v>
      </c>
      <c r="Y46" s="475"/>
      <c r="Z46" s="473">
        <v>400</v>
      </c>
      <c r="AA46" s="478"/>
      <c r="AB46" s="477">
        <v>-60797.597804661666</v>
      </c>
      <c r="AC46" s="475"/>
      <c r="AD46" s="477">
        <v>-459185.98269851459</v>
      </c>
      <c r="AE46" s="479">
        <v>134717.56825610725</v>
      </c>
      <c r="AF46" s="480">
        <v>-459185.98269851459</v>
      </c>
      <c r="AG46" s="479">
        <v>109167.63</v>
      </c>
      <c r="AH46" s="479">
        <v>359654.5454701673</v>
      </c>
      <c r="AI46" s="480">
        <v>191518.61690824555</v>
      </c>
      <c r="AJ46" s="480">
        <v>-168135.92856192176</v>
      </c>
      <c r="AK46" s="479">
        <v>-668407.39283411356</v>
      </c>
      <c r="AL46" s="480">
        <v>-238901.07164850688</v>
      </c>
      <c r="AM46" s="480">
        <v>429506.32118560665</v>
      </c>
      <c r="AN46" s="480">
        <f t="shared" si="0"/>
        <v>-172265.65181872237</v>
      </c>
      <c r="AO46" s="480">
        <f t="shared" si="1"/>
        <v>-172265.3129358548</v>
      </c>
      <c r="AP46" s="480">
        <f t="shared" si="2"/>
        <v>0.33888286756700836</v>
      </c>
      <c r="AQ46" s="490"/>
    </row>
    <row r="47" spans="1:43" s="459" customFormat="1" ht="13.7" customHeight="1" x14ac:dyDescent="0.2">
      <c r="A47" s="471">
        <v>800790005</v>
      </c>
      <c r="B47" s="472"/>
      <c r="C47" s="461" t="s">
        <v>641</v>
      </c>
      <c r="D47" s="473">
        <v>-281733.11996526906</v>
      </c>
      <c r="E47" s="474"/>
      <c r="F47" s="473">
        <v>112184.8496799831</v>
      </c>
      <c r="G47" s="473"/>
      <c r="H47" s="473">
        <v>77685.532868835449</v>
      </c>
      <c r="I47" s="473"/>
      <c r="J47" s="473">
        <v>189870.38254881854</v>
      </c>
      <c r="K47" s="475"/>
      <c r="L47" s="473">
        <v>-163998.66682223891</v>
      </c>
      <c r="M47" s="474"/>
      <c r="N47" s="473">
        <v>-157184.67161901441</v>
      </c>
      <c r="O47" s="473"/>
      <c r="P47" s="473">
        <v>-4698.1311699984235</v>
      </c>
      <c r="Q47" s="476"/>
      <c r="R47" s="473">
        <v>-54143.143347781181</v>
      </c>
      <c r="S47" s="475"/>
      <c r="T47" s="473">
        <v>-380024.61295903288</v>
      </c>
      <c r="U47" s="475"/>
      <c r="V47" s="477">
        <v>-651548.47903630696</v>
      </c>
      <c r="W47" s="475"/>
      <c r="X47" s="473">
        <v>-246928.13076376342</v>
      </c>
      <c r="Y47" s="475"/>
      <c r="Z47" s="473">
        <v>917</v>
      </c>
      <c r="AA47" s="478"/>
      <c r="AB47" s="477">
        <v>-247845.46159967361</v>
      </c>
      <c r="AC47" s="475"/>
      <c r="AD47" s="477">
        <v>-899393.94063598057</v>
      </c>
      <c r="AE47" s="479">
        <v>214293.21994268481</v>
      </c>
      <c r="AF47" s="480">
        <v>-899393.94063598057</v>
      </c>
      <c r="AG47" s="479">
        <v>178539.34999999998</v>
      </c>
      <c r="AH47" s="479">
        <v>376446.82290651125</v>
      </c>
      <c r="AI47" s="480">
        <v>189870.38254881854</v>
      </c>
      <c r="AJ47" s="480">
        <v>-186576.44035769271</v>
      </c>
      <c r="AK47" s="479">
        <v>-1148507.4498151981</v>
      </c>
      <c r="AL47" s="480">
        <v>-380024.61295903288</v>
      </c>
      <c r="AM47" s="480">
        <v>768482.8368561652</v>
      </c>
      <c r="AN47" s="480">
        <f t="shared" si="0"/>
        <v>-281733.67419482325</v>
      </c>
      <c r="AO47" s="480">
        <f t="shared" si="1"/>
        <v>-281733.11996526906</v>
      </c>
      <c r="AP47" s="480">
        <f t="shared" si="2"/>
        <v>0.554229554196354</v>
      </c>
      <c r="AQ47" s="490"/>
    </row>
    <row r="48" spans="1:43" s="459" customFormat="1" ht="13.7" customHeight="1" x14ac:dyDescent="0.2">
      <c r="A48" s="471">
        <v>800810005</v>
      </c>
      <c r="B48" s="472"/>
      <c r="C48" s="461" t="s">
        <v>642</v>
      </c>
      <c r="D48" s="473">
        <v>-332099.46568703069</v>
      </c>
      <c r="E48" s="474"/>
      <c r="F48" s="473">
        <v>401946.81482257624</v>
      </c>
      <c r="G48" s="473"/>
      <c r="H48" s="473">
        <v>91573.628122007634</v>
      </c>
      <c r="I48" s="473"/>
      <c r="J48" s="473">
        <v>493520.44294458389</v>
      </c>
      <c r="K48" s="475"/>
      <c r="L48" s="473">
        <v>-193317.24162130815</v>
      </c>
      <c r="M48" s="474"/>
      <c r="N48" s="473">
        <v>-185285.08634448514</v>
      </c>
      <c r="O48" s="473"/>
      <c r="P48" s="473">
        <v>-5538.0313520696527</v>
      </c>
      <c r="Q48" s="476"/>
      <c r="R48" s="473">
        <v>-157053.22707342147</v>
      </c>
      <c r="S48" s="475"/>
      <c r="T48" s="473">
        <v>-541193.58639128436</v>
      </c>
      <c r="U48" s="475"/>
      <c r="V48" s="477">
        <v>-768027.91870487004</v>
      </c>
      <c r="W48" s="475"/>
      <c r="X48" s="473">
        <v>53971.566766925665</v>
      </c>
      <c r="Y48" s="475"/>
      <c r="Z48" s="473">
        <v>1165</v>
      </c>
      <c r="AA48" s="478"/>
      <c r="AB48" s="477">
        <v>52806.473878096454</v>
      </c>
      <c r="AC48" s="475"/>
      <c r="AD48" s="477">
        <v>-715221.4448267736</v>
      </c>
      <c r="AE48" s="479">
        <v>287346.98020653834</v>
      </c>
      <c r="AF48" s="480">
        <v>-715221.4448267736</v>
      </c>
      <c r="AG48" s="479">
        <v>210457.4099999998</v>
      </c>
      <c r="AH48" s="479">
        <v>1066191.1531976962</v>
      </c>
      <c r="AI48" s="480">
        <v>493520.44294458389</v>
      </c>
      <c r="AJ48" s="480">
        <v>-572670.71025311225</v>
      </c>
      <c r="AK48" s="479">
        <v>-1420096.0522666278</v>
      </c>
      <c r="AL48" s="480">
        <v>-541193.58639128436</v>
      </c>
      <c r="AM48" s="480">
        <v>878902.46587534342</v>
      </c>
      <c r="AN48" s="480">
        <f t="shared" si="0"/>
        <v>-332100.11899800389</v>
      </c>
      <c r="AO48" s="480">
        <f t="shared" si="1"/>
        <v>-332099.46568703069</v>
      </c>
      <c r="AP48" s="480">
        <f t="shared" si="2"/>
        <v>0.65331097319722176</v>
      </c>
      <c r="AQ48" s="490"/>
    </row>
    <row r="49" spans="1:43" s="459" customFormat="1" ht="13.7" customHeight="1" x14ac:dyDescent="0.2">
      <c r="A49" s="471">
        <v>800830005</v>
      </c>
      <c r="B49" s="472"/>
      <c r="C49" s="461" t="s">
        <v>643</v>
      </c>
      <c r="D49" s="473">
        <v>-140962.3833611217</v>
      </c>
      <c r="E49" s="474"/>
      <c r="F49" s="473">
        <v>65594.586065821088</v>
      </c>
      <c r="G49" s="473"/>
      <c r="H49" s="473">
        <v>38869.188923261012</v>
      </c>
      <c r="I49" s="473"/>
      <c r="J49" s="473">
        <v>104463.7749890821</v>
      </c>
      <c r="K49" s="475"/>
      <c r="L49" s="473">
        <v>-82055.112817971691</v>
      </c>
      <c r="M49" s="474"/>
      <c r="N49" s="473">
        <v>-78645.797632819944</v>
      </c>
      <c r="O49" s="473"/>
      <c r="P49" s="473">
        <v>-2350.6635185376631</v>
      </c>
      <c r="Q49" s="476"/>
      <c r="R49" s="473">
        <v>-8281.9171414968514</v>
      </c>
      <c r="S49" s="475"/>
      <c r="T49" s="473">
        <v>-171333.49111082614</v>
      </c>
      <c r="U49" s="475"/>
      <c r="V49" s="477">
        <v>-325995.84490312601</v>
      </c>
      <c r="W49" s="475"/>
      <c r="X49" s="473">
        <v>-130844.44004334875</v>
      </c>
      <c r="Y49" s="475"/>
      <c r="Z49" s="473">
        <v>370</v>
      </c>
      <c r="AA49" s="478"/>
      <c r="AB49" s="477">
        <v>-131214.77493743744</v>
      </c>
      <c r="AC49" s="475"/>
      <c r="AD49" s="477">
        <v>-457210.61984056345</v>
      </c>
      <c r="AE49" s="479">
        <v>89412.966497685353</v>
      </c>
      <c r="AF49" s="480">
        <v>-457210.61984056345</v>
      </c>
      <c r="AG49" s="479">
        <v>89330.400000000023</v>
      </c>
      <c r="AH49" s="479">
        <v>132177.98748815249</v>
      </c>
      <c r="AI49" s="480">
        <v>104463.7749890821</v>
      </c>
      <c r="AJ49" s="480">
        <v>-27714.212499070389</v>
      </c>
      <c r="AK49" s="479">
        <v>-515213.09628837067</v>
      </c>
      <c r="AL49" s="480">
        <v>-171333.49111082614</v>
      </c>
      <c r="AM49" s="480">
        <v>343879.60517754452</v>
      </c>
      <c r="AN49" s="480">
        <f t="shared" si="0"/>
        <v>-140962.66066440399</v>
      </c>
      <c r="AO49" s="480">
        <f t="shared" si="1"/>
        <v>-140962.3833611217</v>
      </c>
      <c r="AP49" s="480">
        <f t="shared" si="2"/>
        <v>0.27730328228790313</v>
      </c>
      <c r="AQ49" s="490"/>
    </row>
    <row r="50" spans="1:43" s="459" customFormat="1" ht="13.7" customHeight="1" x14ac:dyDescent="0.2">
      <c r="A50" s="471">
        <v>800850005</v>
      </c>
      <c r="B50" s="472"/>
      <c r="C50" s="461" t="s">
        <v>644</v>
      </c>
      <c r="D50" s="473">
        <v>-90530.78779661881</v>
      </c>
      <c r="E50" s="474"/>
      <c r="F50" s="473">
        <v>39328.471420780421</v>
      </c>
      <c r="G50" s="473"/>
      <c r="H50" s="473">
        <v>24963.101575997844</v>
      </c>
      <c r="I50" s="473"/>
      <c r="J50" s="473">
        <v>64291.572996778268</v>
      </c>
      <c r="K50" s="475"/>
      <c r="L50" s="473">
        <v>-52698.555664462772</v>
      </c>
      <c r="M50" s="474"/>
      <c r="N50" s="473">
        <v>-50508.978685134462</v>
      </c>
      <c r="O50" s="473"/>
      <c r="P50" s="473">
        <v>-1509.6752417473676</v>
      </c>
      <c r="Q50" s="476"/>
      <c r="R50" s="473">
        <v>-3673.9226711868769</v>
      </c>
      <c r="S50" s="475"/>
      <c r="T50" s="473">
        <v>-108391.13226253148</v>
      </c>
      <c r="U50" s="475"/>
      <c r="V50" s="477">
        <v>-209365.50556113923</v>
      </c>
      <c r="W50" s="475"/>
      <c r="X50" s="473">
        <v>-49959.087366353291</v>
      </c>
      <c r="Y50" s="475"/>
      <c r="Z50" s="473">
        <v>283</v>
      </c>
      <c r="AA50" s="478"/>
      <c r="AB50" s="477">
        <v>-50242.415297958214</v>
      </c>
      <c r="AC50" s="475"/>
      <c r="AD50" s="477">
        <v>-259607.92085909744</v>
      </c>
      <c r="AE50" s="479">
        <v>64297.668783665111</v>
      </c>
      <c r="AF50" s="480">
        <v>-259607.92085909744</v>
      </c>
      <c r="AG50" s="479">
        <v>57370.990000000005</v>
      </c>
      <c r="AH50" s="479">
        <v>128206.49348461068</v>
      </c>
      <c r="AI50" s="480">
        <v>64291.572996778268</v>
      </c>
      <c r="AJ50" s="480">
        <v>-63914.920487832409</v>
      </c>
      <c r="AK50" s="479">
        <v>-334456.32893567468</v>
      </c>
      <c r="AL50" s="480">
        <v>-108391.13226253148</v>
      </c>
      <c r="AM50" s="480">
        <v>226065.19667314319</v>
      </c>
      <c r="AN50" s="480">
        <f t="shared" si="0"/>
        <v>-90530.96589012153</v>
      </c>
      <c r="AO50" s="480">
        <f t="shared" si="1"/>
        <v>-90530.78779661881</v>
      </c>
      <c r="AP50" s="480">
        <f t="shared" si="2"/>
        <v>0.17809350272000302</v>
      </c>
      <c r="AQ50" s="490"/>
    </row>
    <row r="51" spans="1:43" s="459" customFormat="1" ht="13.7" customHeight="1" x14ac:dyDescent="0.2">
      <c r="A51" s="471">
        <v>800870005</v>
      </c>
      <c r="B51" s="472"/>
      <c r="C51" s="461" t="s">
        <v>645</v>
      </c>
      <c r="D51" s="473">
        <v>-77752.059767632745</v>
      </c>
      <c r="E51" s="474"/>
      <c r="F51" s="473">
        <v>2969.8125007885537</v>
      </c>
      <c r="G51" s="473"/>
      <c r="H51" s="473">
        <v>21439.475044477214</v>
      </c>
      <c r="I51" s="473"/>
      <c r="J51" s="473">
        <v>24409.287545265768</v>
      </c>
      <c r="K51" s="475"/>
      <c r="L51" s="473">
        <v>-45259.97563277874</v>
      </c>
      <c r="M51" s="474"/>
      <c r="N51" s="473">
        <v>-43379.464877199898</v>
      </c>
      <c r="O51" s="473"/>
      <c r="P51" s="473">
        <v>-1296.5794563696563</v>
      </c>
      <c r="Q51" s="476"/>
      <c r="R51" s="473">
        <v>-67978.894685004139</v>
      </c>
      <c r="S51" s="475"/>
      <c r="T51" s="473">
        <v>-157914.91465135245</v>
      </c>
      <c r="U51" s="475"/>
      <c r="V51" s="477">
        <v>-179812.8537027745</v>
      </c>
      <c r="W51" s="475"/>
      <c r="X51" s="473">
        <v>-72551.528489567267</v>
      </c>
      <c r="Y51" s="475"/>
      <c r="Z51" s="473">
        <v>331</v>
      </c>
      <c r="AA51" s="478"/>
      <c r="AB51" s="477">
        <v>-72882.893100146903</v>
      </c>
      <c r="AC51" s="475"/>
      <c r="AD51" s="477">
        <v>-252695.74680292141</v>
      </c>
      <c r="AE51" s="479">
        <v>55214.427256929885</v>
      </c>
      <c r="AF51" s="480">
        <v>-252695.74680292141</v>
      </c>
      <c r="AG51" s="479">
        <v>49272.879999999976</v>
      </c>
      <c r="AH51" s="479">
        <v>108563.83652756264</v>
      </c>
      <c r="AI51" s="480">
        <v>24409.287545265768</v>
      </c>
      <c r="AJ51" s="480">
        <v>-84154.548982296867</v>
      </c>
      <c r="AK51" s="479">
        <v>-411071.4504570078</v>
      </c>
      <c r="AL51" s="480">
        <v>-157914.91465135245</v>
      </c>
      <c r="AM51" s="480">
        <v>253156.53580565535</v>
      </c>
      <c r="AN51" s="480">
        <f t="shared" si="0"/>
        <v>-77752.212722632976</v>
      </c>
      <c r="AO51" s="480">
        <f t="shared" si="1"/>
        <v>-77752.059767632745</v>
      </c>
      <c r="AP51" s="480">
        <f t="shared" si="2"/>
        <v>0.15295500023057684</v>
      </c>
      <c r="AQ51" s="490"/>
    </row>
    <row r="52" spans="1:43" s="459" customFormat="1" ht="13.7" customHeight="1" x14ac:dyDescent="0.2">
      <c r="A52" s="471">
        <v>800890005</v>
      </c>
      <c r="B52" s="472"/>
      <c r="C52" s="461" t="s">
        <v>646</v>
      </c>
      <c r="D52" s="473">
        <v>-60278.483259295477</v>
      </c>
      <c r="E52" s="474"/>
      <c r="F52" s="473">
        <v>54695.951030618264</v>
      </c>
      <c r="G52" s="473"/>
      <c r="H52" s="473">
        <v>16621.283621538067</v>
      </c>
      <c r="I52" s="473"/>
      <c r="J52" s="473">
        <v>71317.23465215633</v>
      </c>
      <c r="K52" s="475"/>
      <c r="L52" s="473">
        <v>-35088.494010962429</v>
      </c>
      <c r="M52" s="474"/>
      <c r="N52" s="473">
        <v>-33630.599050522134</v>
      </c>
      <c r="O52" s="473"/>
      <c r="P52" s="473">
        <v>-1005.19321660029</v>
      </c>
      <c r="Q52" s="476"/>
      <c r="R52" s="473">
        <v>-52212.942400273903</v>
      </c>
      <c r="S52" s="475"/>
      <c r="T52" s="473">
        <v>-121937.22867835878</v>
      </c>
      <c r="U52" s="475"/>
      <c r="V52" s="477">
        <v>-139402.68751878032</v>
      </c>
      <c r="W52" s="475"/>
      <c r="X52" s="473">
        <v>-34443.540310126053</v>
      </c>
      <c r="Y52" s="475"/>
      <c r="Z52" s="473">
        <v>164</v>
      </c>
      <c r="AA52" s="478"/>
      <c r="AB52" s="477">
        <v>-34607.607274837312</v>
      </c>
      <c r="AC52" s="475"/>
      <c r="AD52" s="477">
        <v>-174010.29479361762</v>
      </c>
      <c r="AE52" s="479">
        <v>57920.988058685019</v>
      </c>
      <c r="AF52" s="480">
        <v>-174010.29479361762</v>
      </c>
      <c r="AG52" s="479">
        <v>38199.56</v>
      </c>
      <c r="AH52" s="479">
        <v>154409.39345365981</v>
      </c>
      <c r="AI52" s="480">
        <v>71317.23465215633</v>
      </c>
      <c r="AJ52" s="480">
        <v>-83092.158801503479</v>
      </c>
      <c r="AK52" s="479">
        <v>-299039.6523747769</v>
      </c>
      <c r="AL52" s="480">
        <v>-121937.22867835878</v>
      </c>
      <c r="AM52" s="480">
        <v>177102.42369641812</v>
      </c>
      <c r="AN52" s="480">
        <f t="shared" si="0"/>
        <v>-60278.601840017946</v>
      </c>
      <c r="AO52" s="480">
        <f t="shared" si="1"/>
        <v>-60278.483259295477</v>
      </c>
      <c r="AP52" s="480">
        <f t="shared" si="2"/>
        <v>0.11858072246832307</v>
      </c>
      <c r="AQ52" s="490"/>
    </row>
    <row r="53" spans="1:43" s="459" customFormat="1" ht="13.7" customHeight="1" x14ac:dyDescent="0.2">
      <c r="A53" s="471">
        <v>800910005</v>
      </c>
      <c r="B53" s="472"/>
      <c r="C53" s="461" t="s">
        <v>647</v>
      </c>
      <c r="D53" s="473">
        <v>-125804.93168180065</v>
      </c>
      <c r="E53" s="474"/>
      <c r="F53" s="473">
        <v>58003.463468685601</v>
      </c>
      <c r="G53" s="473"/>
      <c r="H53" s="473">
        <v>34689.649397390429</v>
      </c>
      <c r="I53" s="473"/>
      <c r="J53" s="473">
        <v>92693.11286607603</v>
      </c>
      <c r="K53" s="475"/>
      <c r="L53" s="473">
        <v>-73231.862402338651</v>
      </c>
      <c r="M53" s="474"/>
      <c r="N53" s="473">
        <v>-70189.145233950883</v>
      </c>
      <c r="O53" s="473"/>
      <c r="P53" s="473">
        <v>-2097.900562584377</v>
      </c>
      <c r="Q53" s="476"/>
      <c r="R53" s="473">
        <v>-16932.133752693811</v>
      </c>
      <c r="S53" s="475"/>
      <c r="T53" s="473">
        <v>-162451.04195156769</v>
      </c>
      <c r="U53" s="475"/>
      <c r="V53" s="477">
        <v>-290942.05147995526</v>
      </c>
      <c r="W53" s="475"/>
      <c r="X53" s="473">
        <v>-41886.896842042115</v>
      </c>
      <c r="Y53" s="475"/>
      <c r="Z53" s="473">
        <v>315</v>
      </c>
      <c r="AA53" s="478"/>
      <c r="AB53" s="477">
        <v>-42201.961658230874</v>
      </c>
      <c r="AC53" s="475"/>
      <c r="AD53" s="477">
        <v>-333144.01313818613</v>
      </c>
      <c r="AE53" s="479">
        <v>87778.920171443853</v>
      </c>
      <c r="AF53" s="480">
        <v>-333144.01313818613</v>
      </c>
      <c r="AG53" s="479">
        <v>79724.850000000035</v>
      </c>
      <c r="AH53" s="479">
        <v>161454.95232457202</v>
      </c>
      <c r="AI53" s="480">
        <v>92693.11286607603</v>
      </c>
      <c r="AJ53" s="480">
        <v>-68761.83945849599</v>
      </c>
      <c r="AK53" s="479">
        <v>-430497.6452096859</v>
      </c>
      <c r="AL53" s="480">
        <v>-162451.04195156769</v>
      </c>
      <c r="AM53" s="480">
        <v>268046.60325811821</v>
      </c>
      <c r="AN53" s="480">
        <f t="shared" si="0"/>
        <v>-125805.17916712008</v>
      </c>
      <c r="AO53" s="480">
        <f t="shared" si="1"/>
        <v>-125804.93168180065</v>
      </c>
      <c r="AP53" s="480">
        <f t="shared" si="2"/>
        <v>0.24748531942896079</v>
      </c>
      <c r="AQ53" s="490"/>
    </row>
    <row r="54" spans="1:43" s="459" customFormat="1" ht="13.7" customHeight="1" x14ac:dyDescent="0.2">
      <c r="A54" s="471">
        <v>800930005</v>
      </c>
      <c r="B54" s="472"/>
      <c r="C54" s="461" t="s">
        <v>648</v>
      </c>
      <c r="D54" s="473">
        <v>-44823.470205230697</v>
      </c>
      <c r="E54" s="474"/>
      <c r="F54" s="473">
        <v>36191.140649151639</v>
      </c>
      <c r="G54" s="473"/>
      <c r="H54" s="473">
        <v>12359.694054972944</v>
      </c>
      <c r="I54" s="473"/>
      <c r="J54" s="473">
        <v>48550.834704124587</v>
      </c>
      <c r="K54" s="475"/>
      <c r="L54" s="473">
        <v>-26092.031199279594</v>
      </c>
      <c r="M54" s="474"/>
      <c r="N54" s="473">
        <v>-25007.931072862189</v>
      </c>
      <c r="O54" s="473"/>
      <c r="P54" s="473">
        <v>-747.46818032842646</v>
      </c>
      <c r="Q54" s="476"/>
      <c r="R54" s="473">
        <v>-5955.3472781380187</v>
      </c>
      <c r="S54" s="475"/>
      <c r="T54" s="473">
        <v>-57802.777730608228</v>
      </c>
      <c r="U54" s="475"/>
      <c r="V54" s="477">
        <v>-103660.74049422203</v>
      </c>
      <c r="W54" s="475"/>
      <c r="X54" s="473">
        <v>-34547.020284964514</v>
      </c>
      <c r="Y54" s="475"/>
      <c r="Z54" s="473">
        <v>83</v>
      </c>
      <c r="AA54" s="478"/>
      <c r="AB54" s="477">
        <v>-34629.992734381434</v>
      </c>
      <c r="AC54" s="475"/>
      <c r="AD54" s="477">
        <v>-138290.73322860347</v>
      </c>
      <c r="AE54" s="479">
        <v>27398.059106519027</v>
      </c>
      <c r="AF54" s="480">
        <v>-138290.73322860347</v>
      </c>
      <c r="AG54" s="479">
        <v>28405.440000000002</v>
      </c>
      <c r="AH54" s="479">
        <v>61364.384995511762</v>
      </c>
      <c r="AI54" s="480">
        <v>48550.834704124587</v>
      </c>
      <c r="AJ54" s="480">
        <v>-12813.550291387175</v>
      </c>
      <c r="AK54" s="479">
        <v>-165090.88376145659</v>
      </c>
      <c r="AL54" s="480">
        <v>-57802.777730608228</v>
      </c>
      <c r="AM54" s="480">
        <v>107288.10603084836</v>
      </c>
      <c r="AN54" s="480">
        <f t="shared" si="0"/>
        <v>-44823.558382623291</v>
      </c>
      <c r="AO54" s="480">
        <f t="shared" si="1"/>
        <v>-44823.470205230697</v>
      </c>
      <c r="AP54" s="480">
        <f t="shared" si="2"/>
        <v>8.8177392593934201E-2</v>
      </c>
      <c r="AQ54" s="490"/>
    </row>
    <row r="55" spans="1:43" s="459" customFormat="1" ht="13.7" customHeight="1" x14ac:dyDescent="0.2">
      <c r="A55" s="471">
        <v>800950005</v>
      </c>
      <c r="B55" s="472"/>
      <c r="C55" s="461" t="s">
        <v>649</v>
      </c>
      <c r="D55" s="473">
        <v>-211747.87442920744</v>
      </c>
      <c r="E55" s="474"/>
      <c r="F55" s="473">
        <v>165318.69592953724</v>
      </c>
      <c r="G55" s="473"/>
      <c r="H55" s="473">
        <v>58387.691375810173</v>
      </c>
      <c r="I55" s="473"/>
      <c r="J55" s="473">
        <v>223706.38730534742</v>
      </c>
      <c r="K55" s="475"/>
      <c r="L55" s="473">
        <v>-123259.80386371967</v>
      </c>
      <c r="M55" s="474"/>
      <c r="N55" s="473">
        <v>-118138.4713032047</v>
      </c>
      <c r="O55" s="473"/>
      <c r="P55" s="473">
        <v>-3531.0697200222994</v>
      </c>
      <c r="Q55" s="476"/>
      <c r="R55" s="473">
        <v>-45932.53200532154</v>
      </c>
      <c r="S55" s="475"/>
      <c r="T55" s="473">
        <v>-290861.87689226819</v>
      </c>
      <c r="U55" s="475"/>
      <c r="V55" s="477">
        <v>-489697.50358257012</v>
      </c>
      <c r="W55" s="475"/>
      <c r="X55" s="473">
        <v>92457.001309590065</v>
      </c>
      <c r="Y55" s="475"/>
      <c r="Z55" s="473">
        <v>560</v>
      </c>
      <c r="AA55" s="478"/>
      <c r="AB55" s="477">
        <v>91896.678621606086</v>
      </c>
      <c r="AC55" s="475"/>
      <c r="AD55" s="477">
        <v>-397800.82496096403</v>
      </c>
      <c r="AE55" s="479">
        <v>164077.67568866082</v>
      </c>
      <c r="AF55" s="480">
        <v>-397800.82496096403</v>
      </c>
      <c r="AG55" s="479">
        <v>134188.44</v>
      </c>
      <c r="AH55" s="479">
        <v>442761.64055476896</v>
      </c>
      <c r="AI55" s="480">
        <v>223706.38730534742</v>
      </c>
      <c r="AJ55" s="480">
        <v>-219055.25324942154</v>
      </c>
      <c r="AK55" s="479">
        <v>-666080.42843123991</v>
      </c>
      <c r="AL55" s="480">
        <v>-290861.87689226819</v>
      </c>
      <c r="AM55" s="480">
        <v>375218.55153897172</v>
      </c>
      <c r="AN55" s="480">
        <f t="shared" si="0"/>
        <v>-211748.29098275304</v>
      </c>
      <c r="AO55" s="480">
        <f t="shared" si="1"/>
        <v>-211747.87442920744</v>
      </c>
      <c r="AP55" s="480">
        <f t="shared" si="2"/>
        <v>0.41655354559770785</v>
      </c>
      <c r="AQ55" s="490"/>
    </row>
    <row r="56" spans="1:43" s="459" customFormat="1" ht="13.7" customHeight="1" x14ac:dyDescent="0.2">
      <c r="A56" s="471">
        <v>800970005</v>
      </c>
      <c r="B56" s="472"/>
      <c r="C56" s="461" t="s">
        <v>650</v>
      </c>
      <c r="D56" s="473">
        <v>-143980.82372843768</v>
      </c>
      <c r="E56" s="474"/>
      <c r="F56" s="473">
        <v>45331.693422258322</v>
      </c>
      <c r="G56" s="473"/>
      <c r="H56" s="473">
        <v>39701.498409616936</v>
      </c>
      <c r="I56" s="473"/>
      <c r="J56" s="473">
        <v>85033.191831875258</v>
      </c>
      <c r="K56" s="475"/>
      <c r="L56" s="473">
        <v>-83812.166430210389</v>
      </c>
      <c r="M56" s="474"/>
      <c r="N56" s="473">
        <v>-80329.847268150814</v>
      </c>
      <c r="O56" s="473"/>
      <c r="P56" s="473">
        <v>-2400.9984907845078</v>
      </c>
      <c r="Q56" s="476"/>
      <c r="R56" s="473">
        <v>-90406.098826547677</v>
      </c>
      <c r="S56" s="475"/>
      <c r="T56" s="473">
        <v>-256949.1110156934</v>
      </c>
      <c r="U56" s="475"/>
      <c r="V56" s="477">
        <v>-332976.42365307553</v>
      </c>
      <c r="W56" s="475"/>
      <c r="X56" s="473">
        <v>-40637.22498188258</v>
      </c>
      <c r="Y56" s="475"/>
      <c r="Z56" s="473">
        <v>704</v>
      </c>
      <c r="AA56" s="478"/>
      <c r="AB56" s="477">
        <v>-41341.174072229085</v>
      </c>
      <c r="AC56" s="475"/>
      <c r="AD56" s="477">
        <v>-374317.5977253046</v>
      </c>
      <c r="AE56" s="479">
        <v>116177.74035785079</v>
      </c>
      <c r="AF56" s="480">
        <v>-374317.5977253046</v>
      </c>
      <c r="AG56" s="479">
        <v>91243.239999999991</v>
      </c>
      <c r="AH56" s="479">
        <v>225977.0420118609</v>
      </c>
      <c r="AI56" s="480">
        <v>85033.191831875258</v>
      </c>
      <c r="AJ56" s="480">
        <v>-140943.85017998563</v>
      </c>
      <c r="AK56" s="479">
        <v>-603294.95159349241</v>
      </c>
      <c r="AL56" s="480">
        <v>-256949.1110156934</v>
      </c>
      <c r="AM56" s="480">
        <v>346345.84057779901</v>
      </c>
      <c r="AN56" s="480">
        <f t="shared" si="0"/>
        <v>-143981.10696964042</v>
      </c>
      <c r="AO56" s="480">
        <f t="shared" si="1"/>
        <v>-143980.82372843768</v>
      </c>
      <c r="AP56" s="480">
        <f t="shared" si="2"/>
        <v>0.28324120273464359</v>
      </c>
      <c r="AQ56" s="490"/>
    </row>
    <row r="57" spans="1:43" s="459" customFormat="1" ht="13.7" customHeight="1" x14ac:dyDescent="0.2">
      <c r="A57" s="471">
        <v>800990005</v>
      </c>
      <c r="B57" s="472"/>
      <c r="C57" s="461" t="s">
        <v>651</v>
      </c>
      <c r="D57" s="473">
        <v>-344094.88000533771</v>
      </c>
      <c r="E57" s="474"/>
      <c r="F57" s="473">
        <v>191234.99651842134</v>
      </c>
      <c r="G57" s="473"/>
      <c r="H57" s="473">
        <v>94881.262501007935</v>
      </c>
      <c r="I57" s="473"/>
      <c r="J57" s="473">
        <v>286116.25901942927</v>
      </c>
      <c r="K57" s="475"/>
      <c r="L57" s="473">
        <v>-200299.84968820939</v>
      </c>
      <c r="M57" s="474"/>
      <c r="N57" s="473">
        <v>-191977.57340738192</v>
      </c>
      <c r="O57" s="473"/>
      <c r="P57" s="473">
        <v>-5738.064737966316</v>
      </c>
      <c r="Q57" s="476"/>
      <c r="R57" s="473">
        <v>-68024.123486583849</v>
      </c>
      <c r="S57" s="475"/>
      <c r="T57" s="473">
        <v>-466039.61132014147</v>
      </c>
      <c r="U57" s="475"/>
      <c r="V57" s="477">
        <v>-795769.04461674986</v>
      </c>
      <c r="W57" s="475"/>
      <c r="X57" s="473">
        <v>135517.86985990658</v>
      </c>
      <c r="Y57" s="475"/>
      <c r="Z57" s="473">
        <v>1001</v>
      </c>
      <c r="AA57" s="478"/>
      <c r="AB57" s="477">
        <v>134516.81731543862</v>
      </c>
      <c r="AC57" s="475"/>
      <c r="AD57" s="477">
        <v>-661252.22730131121</v>
      </c>
      <c r="AE57" s="479">
        <v>265366.20780828892</v>
      </c>
      <c r="AF57" s="480">
        <v>-661252.22730131121</v>
      </c>
      <c r="AG57" s="479">
        <v>218059.11999999994</v>
      </c>
      <c r="AH57" s="479">
        <v>665269.23122716381</v>
      </c>
      <c r="AI57" s="480">
        <v>286116.25901942927</v>
      </c>
      <c r="AJ57" s="480">
        <v>-379152.97220773454</v>
      </c>
      <c r="AK57" s="479">
        <v>-1115042.1661070308</v>
      </c>
      <c r="AL57" s="480">
        <v>-466039.61132014147</v>
      </c>
      <c r="AM57" s="480">
        <v>649002.55478688935</v>
      </c>
      <c r="AN57" s="480">
        <f t="shared" si="0"/>
        <v>-344095.55691386736</v>
      </c>
      <c r="AO57" s="480">
        <f t="shared" si="1"/>
        <v>-344094.88000533771</v>
      </c>
      <c r="AP57" s="480">
        <f t="shared" si="2"/>
        <v>0.6769085296546109</v>
      </c>
      <c r="AQ57" s="490"/>
    </row>
    <row r="58" spans="1:43" s="459" customFormat="1" ht="13.7" customHeight="1" x14ac:dyDescent="0.2">
      <c r="A58" s="471">
        <v>801010005</v>
      </c>
      <c r="B58" s="472"/>
      <c r="C58" s="461" t="s">
        <v>652</v>
      </c>
      <c r="D58" s="473">
        <v>-74268.112662503729</v>
      </c>
      <c r="E58" s="474"/>
      <c r="F58" s="473">
        <v>61575.70167373251</v>
      </c>
      <c r="G58" s="473"/>
      <c r="H58" s="473">
        <v>20478.805999310818</v>
      </c>
      <c r="I58" s="473"/>
      <c r="J58" s="473">
        <v>82054.507673043321</v>
      </c>
      <c r="K58" s="475"/>
      <c r="L58" s="473">
        <v>-43231.947545094932</v>
      </c>
      <c r="M58" s="474"/>
      <c r="N58" s="473">
        <v>-41435.699509020145</v>
      </c>
      <c r="O58" s="473"/>
      <c r="P58" s="473">
        <v>-1238.4817769372553</v>
      </c>
      <c r="Q58" s="476"/>
      <c r="R58" s="473">
        <v>-56601.288619465886</v>
      </c>
      <c r="S58" s="475"/>
      <c r="T58" s="473">
        <v>-142507.41745051823</v>
      </c>
      <c r="U58" s="475"/>
      <c r="V58" s="477">
        <v>-171755.7234737493</v>
      </c>
      <c r="W58" s="475"/>
      <c r="X58" s="473">
        <v>-25443.426970368517</v>
      </c>
      <c r="Y58" s="475"/>
      <c r="Z58" s="473">
        <v>195</v>
      </c>
      <c r="AA58" s="478"/>
      <c r="AB58" s="477">
        <v>-25638.601800453911</v>
      </c>
      <c r="AC58" s="475"/>
      <c r="AD58" s="477">
        <v>-197394.32527420321</v>
      </c>
      <c r="AE58" s="479">
        <v>67444.121444882927</v>
      </c>
      <c r="AF58" s="480">
        <v>-197394.32527420321</v>
      </c>
      <c r="AG58" s="479">
        <v>47065.039999999979</v>
      </c>
      <c r="AH58" s="479">
        <v>154442.00436807895</v>
      </c>
      <c r="AI58" s="480">
        <v>82054.507673043321</v>
      </c>
      <c r="AJ58" s="480">
        <v>-72387.496695035632</v>
      </c>
      <c r="AK58" s="479">
        <v>-317641.89921104239</v>
      </c>
      <c r="AL58" s="480">
        <v>-142507.41745051823</v>
      </c>
      <c r="AM58" s="480">
        <v>175134.48176052416</v>
      </c>
      <c r="AN58" s="480">
        <f t="shared" si="0"/>
        <v>-74268.25876383172</v>
      </c>
      <c r="AO58" s="480">
        <f t="shared" si="1"/>
        <v>-74268.112662503729</v>
      </c>
      <c r="AP58" s="480">
        <f t="shared" si="2"/>
        <v>0.1461013279913459</v>
      </c>
      <c r="AQ58" s="490"/>
    </row>
    <row r="59" spans="1:43" s="459" customFormat="1" ht="13.7" customHeight="1" x14ac:dyDescent="0.2">
      <c r="A59" s="471">
        <v>801030005</v>
      </c>
      <c r="B59" s="472"/>
      <c r="C59" s="461" t="s">
        <v>653</v>
      </c>
      <c r="D59" s="473">
        <v>-228919.81835133137</v>
      </c>
      <c r="E59" s="474"/>
      <c r="F59" s="473">
        <v>115113.65714438597</v>
      </c>
      <c r="G59" s="473"/>
      <c r="H59" s="473">
        <v>63122.710155811656</v>
      </c>
      <c r="I59" s="473"/>
      <c r="J59" s="473">
        <v>178236.36730019763</v>
      </c>
      <c r="K59" s="475"/>
      <c r="L59" s="473">
        <v>-133255.70321102304</v>
      </c>
      <c r="M59" s="474"/>
      <c r="N59" s="473">
        <v>-127719.0501389196</v>
      </c>
      <c r="O59" s="473"/>
      <c r="P59" s="473">
        <v>-3817.4259886780433</v>
      </c>
      <c r="Q59" s="476"/>
      <c r="R59" s="473">
        <v>-309582.55069733295</v>
      </c>
      <c r="S59" s="475"/>
      <c r="T59" s="473">
        <v>-574374.73003595369</v>
      </c>
      <c r="U59" s="475"/>
      <c r="V59" s="477">
        <v>-529410.10090139392</v>
      </c>
      <c r="W59" s="475"/>
      <c r="X59" s="473">
        <v>-17634.867920112403</v>
      </c>
      <c r="Y59" s="475"/>
      <c r="Z59" s="473">
        <v>1472</v>
      </c>
      <c r="AA59" s="478"/>
      <c r="AB59" s="477">
        <v>-19107.131025194496</v>
      </c>
      <c r="AC59" s="475"/>
      <c r="AD59" s="477">
        <v>-548517.23192658846</v>
      </c>
      <c r="AE59" s="479">
        <v>210836.84562278818</v>
      </c>
      <c r="AF59" s="480">
        <v>-548517.23192658846</v>
      </c>
      <c r="AG59" s="479">
        <v>145070.61000000002</v>
      </c>
      <c r="AH59" s="479">
        <v>445701.12434189912</v>
      </c>
      <c r="AI59" s="480">
        <v>178236.36730019763</v>
      </c>
      <c r="AJ59" s="480">
        <v>-267464.75704170146</v>
      </c>
      <c r="AK59" s="479">
        <v>-1095670.2146956765</v>
      </c>
      <c r="AL59" s="480">
        <v>-574374.73003595369</v>
      </c>
      <c r="AM59" s="480">
        <v>521295.48465972277</v>
      </c>
      <c r="AN59" s="480">
        <f t="shared" si="0"/>
        <v>-228920.26868577895</v>
      </c>
      <c r="AO59" s="480">
        <f t="shared" si="1"/>
        <v>-228919.81835133137</v>
      </c>
      <c r="AP59" s="480">
        <f t="shared" si="2"/>
        <v>0.45033444758155383</v>
      </c>
      <c r="AQ59" s="490"/>
    </row>
    <row r="60" spans="1:43" s="459" customFormat="1" ht="13.7" customHeight="1" x14ac:dyDescent="0.2">
      <c r="A60" s="471">
        <v>801050005</v>
      </c>
      <c r="B60" s="472"/>
      <c r="C60" s="461" t="s">
        <v>654</v>
      </c>
      <c r="D60" s="473">
        <v>-31056.274123249914</v>
      </c>
      <c r="E60" s="474"/>
      <c r="F60" s="473">
        <v>9065.2982620752045</v>
      </c>
      <c r="G60" s="473"/>
      <c r="H60" s="473">
        <v>8563.5057904541482</v>
      </c>
      <c r="I60" s="473"/>
      <c r="J60" s="473">
        <v>17628.804052529355</v>
      </c>
      <c r="K60" s="475"/>
      <c r="L60" s="473">
        <v>-18078.057536532622</v>
      </c>
      <c r="M60" s="474"/>
      <c r="N60" s="473">
        <v>-17326.930715050159</v>
      </c>
      <c r="O60" s="473"/>
      <c r="P60" s="473">
        <v>-517.88887831307386</v>
      </c>
      <c r="Q60" s="476"/>
      <c r="R60" s="473">
        <v>-19903.77518260837</v>
      </c>
      <c r="S60" s="475"/>
      <c r="T60" s="473">
        <v>-55826.652312504222</v>
      </c>
      <c r="U60" s="475"/>
      <c r="V60" s="477">
        <v>-71822.113679898714</v>
      </c>
      <c r="W60" s="475"/>
      <c r="X60" s="473">
        <v>-39366.788488944883</v>
      </c>
      <c r="Y60" s="475"/>
      <c r="Z60" s="473">
        <v>155</v>
      </c>
      <c r="AA60" s="478"/>
      <c r="AB60" s="477">
        <v>-39522.151109721191</v>
      </c>
      <c r="AC60" s="475"/>
      <c r="AD60" s="477">
        <v>-111344.26478961991</v>
      </c>
      <c r="AE60" s="479">
        <v>23832.256125219545</v>
      </c>
      <c r="AF60" s="480">
        <v>-111344.26478961991</v>
      </c>
      <c r="AG60" s="479">
        <v>19680.919999999984</v>
      </c>
      <c r="AH60" s="479">
        <v>39451.17054509696</v>
      </c>
      <c r="AI60" s="480">
        <v>17628.804052529355</v>
      </c>
      <c r="AJ60" s="480">
        <v>-21822.366492567606</v>
      </c>
      <c r="AK60" s="479">
        <v>-153785.61225186117</v>
      </c>
      <c r="AL60" s="480">
        <v>-55826.652312504222</v>
      </c>
      <c r="AM60" s="480">
        <v>97958.959939356952</v>
      </c>
      <c r="AN60" s="480">
        <f t="shared" si="0"/>
        <v>-31056.335217610991</v>
      </c>
      <c r="AO60" s="480">
        <f t="shared" si="1"/>
        <v>-31056.274123249914</v>
      </c>
      <c r="AP60" s="480">
        <f t="shared" si="2"/>
        <v>6.1094361077266512E-2</v>
      </c>
      <c r="AQ60" s="490"/>
    </row>
    <row r="61" spans="1:43" s="459" customFormat="1" ht="13.7" customHeight="1" x14ac:dyDescent="0.2">
      <c r="A61" s="471">
        <v>801070005</v>
      </c>
      <c r="B61" s="472"/>
      <c r="C61" s="461" t="s">
        <v>655</v>
      </c>
      <c r="D61" s="473">
        <v>-429935.19035197422</v>
      </c>
      <c r="E61" s="474"/>
      <c r="F61" s="473">
        <v>42110.923906102602</v>
      </c>
      <c r="G61" s="473"/>
      <c r="H61" s="473">
        <v>118551.00446008869</v>
      </c>
      <c r="I61" s="473"/>
      <c r="J61" s="473">
        <v>160661.92836619128</v>
      </c>
      <c r="K61" s="475"/>
      <c r="L61" s="473">
        <v>-250268.04816693655</v>
      </c>
      <c r="M61" s="474"/>
      <c r="N61" s="473">
        <v>-239869.63876048516</v>
      </c>
      <c r="O61" s="473"/>
      <c r="P61" s="473">
        <v>-7169.522415826792</v>
      </c>
      <c r="Q61" s="476"/>
      <c r="R61" s="473">
        <v>-58760.070321094441</v>
      </c>
      <c r="S61" s="475"/>
      <c r="T61" s="473">
        <v>-556067.27966434299</v>
      </c>
      <c r="U61" s="475"/>
      <c r="V61" s="477">
        <v>-994287.14448818238</v>
      </c>
      <c r="W61" s="475"/>
      <c r="X61" s="473">
        <v>-566191.50082660525</v>
      </c>
      <c r="Y61" s="475"/>
      <c r="Z61" s="473">
        <v>1656</v>
      </c>
      <c r="AA61" s="478"/>
      <c r="AB61" s="477">
        <v>-567847.25832900475</v>
      </c>
      <c r="AC61" s="475"/>
      <c r="AD61" s="477">
        <v>-1562134.4028171871</v>
      </c>
      <c r="AE61" s="479">
        <v>311517.84041639272</v>
      </c>
      <c r="AF61" s="480">
        <v>-1562134.4028171871</v>
      </c>
      <c r="AG61" s="479">
        <v>272457.67000000016</v>
      </c>
      <c r="AH61" s="479">
        <v>343212.30339463975</v>
      </c>
      <c r="AI61" s="480">
        <v>160661.92836619128</v>
      </c>
      <c r="AJ61" s="480">
        <v>-182550.37502844847</v>
      </c>
      <c r="AK61" s="479">
        <v>-1831755.850966756</v>
      </c>
      <c r="AL61" s="480">
        <v>-556067.27966434299</v>
      </c>
      <c r="AM61" s="480">
        <v>1275688.571302413</v>
      </c>
      <c r="AN61" s="480">
        <f t="shared" si="0"/>
        <v>-429936.03612682992</v>
      </c>
      <c r="AO61" s="480">
        <f t="shared" si="1"/>
        <v>-429935.19035197422</v>
      </c>
      <c r="AP61" s="480">
        <f t="shared" si="2"/>
        <v>0.84577485569752753</v>
      </c>
      <c r="AQ61" s="490"/>
    </row>
    <row r="62" spans="1:43" ht="14.25" x14ac:dyDescent="0.2">
      <c r="A62" s="471">
        <v>801090005</v>
      </c>
      <c r="B62" s="461"/>
      <c r="C62" s="461" t="s">
        <v>656</v>
      </c>
      <c r="D62" s="473">
        <v>-138886.50734848517</v>
      </c>
      <c r="E62" s="475"/>
      <c r="F62" s="473">
        <v>123013.32461725618</v>
      </c>
      <c r="G62" s="473"/>
      <c r="H62" s="473">
        <v>38296.783612053077</v>
      </c>
      <c r="I62" s="473"/>
      <c r="J62" s="473">
        <v>161310.10822930926</v>
      </c>
      <c r="K62" s="475"/>
      <c r="L62" s="473">
        <v>-80846.731997844414</v>
      </c>
      <c r="M62" s="475"/>
      <c r="N62" s="473">
        <v>-77487.623934930671</v>
      </c>
      <c r="O62" s="473"/>
      <c r="P62" s="473">
        <v>-2316.0465810571782</v>
      </c>
      <c r="Q62" s="475"/>
      <c r="R62" s="473">
        <v>-95340.586398827407</v>
      </c>
      <c r="S62" s="475"/>
      <c r="T62" s="473">
        <v>-255990.98891265967</v>
      </c>
      <c r="U62" s="475"/>
      <c r="V62" s="477">
        <v>-321195.08218531706</v>
      </c>
      <c r="W62" s="475"/>
      <c r="X62" s="473">
        <v>-116573.41645193301</v>
      </c>
      <c r="Y62" s="475"/>
      <c r="Z62" s="473">
        <v>237</v>
      </c>
      <c r="AA62" s="478"/>
      <c r="AB62" s="477">
        <v>-116810.02932573151</v>
      </c>
      <c r="AC62" s="475"/>
      <c r="AD62" s="477">
        <v>-438005.11151104857</v>
      </c>
      <c r="AE62" s="479">
        <v>103396.35911223727</v>
      </c>
      <c r="AF62" s="480">
        <v>-438005.11151104857</v>
      </c>
      <c r="AG62" s="479">
        <v>88014.88</v>
      </c>
      <c r="AH62" s="479">
        <v>283574.08526478149</v>
      </c>
      <c r="AI62" s="480">
        <v>161310.10822930926</v>
      </c>
      <c r="AJ62" s="480">
        <v>-122263.97703547223</v>
      </c>
      <c r="AK62" s="479">
        <v>-661991.81777886953</v>
      </c>
      <c r="AL62" s="480">
        <v>-255990.98891265967</v>
      </c>
      <c r="AM62" s="480">
        <v>406000.82886620983</v>
      </c>
      <c r="AN62" s="480">
        <f t="shared" si="0"/>
        <v>-138886.78056807374</v>
      </c>
      <c r="AO62" s="480">
        <f t="shared" si="1"/>
        <v>-138886.50734848517</v>
      </c>
      <c r="AP62" s="480">
        <f t="shared" si="2"/>
        <v>0.27321958856191486</v>
      </c>
      <c r="AQ62" s="490"/>
    </row>
    <row r="63" spans="1:43" ht="14.25" x14ac:dyDescent="0.2">
      <c r="A63" s="481"/>
      <c r="B63" s="461"/>
      <c r="C63" s="461" t="s">
        <v>658</v>
      </c>
      <c r="D63" s="478"/>
      <c r="E63" s="475"/>
      <c r="F63" s="482"/>
      <c r="G63" s="482"/>
      <c r="H63" s="478"/>
      <c r="I63" s="482"/>
      <c r="J63" s="478"/>
      <c r="K63" s="475"/>
      <c r="L63" s="474"/>
      <c r="M63" s="475"/>
      <c r="N63" s="474"/>
      <c r="O63" s="474"/>
      <c r="P63" s="474"/>
      <c r="Q63" s="475"/>
      <c r="R63" s="473"/>
      <c r="S63" s="475"/>
      <c r="T63" s="474"/>
      <c r="U63" s="475"/>
      <c r="V63" s="474"/>
      <c r="W63" s="475"/>
      <c r="X63" s="474"/>
      <c r="Y63" s="475"/>
      <c r="Z63" s="475">
        <v>803</v>
      </c>
      <c r="AA63" s="475"/>
      <c r="AB63" s="475"/>
      <c r="AC63" s="475"/>
      <c r="AD63" s="482"/>
      <c r="AE63" s="483"/>
      <c r="AF63" s="483"/>
      <c r="AG63" s="483"/>
      <c r="AH63" s="483"/>
      <c r="AI63" s="483"/>
      <c r="AJ63" s="483"/>
      <c r="AK63" s="483"/>
      <c r="AL63" s="483"/>
      <c r="AM63" s="483"/>
      <c r="AN63" s="483"/>
      <c r="AO63" s="483"/>
      <c r="AP63" s="483"/>
    </row>
    <row r="64" spans="1:43" ht="14.25" x14ac:dyDescent="0.2">
      <c r="A64" s="484"/>
      <c r="B64" s="461"/>
      <c r="C64" s="461" t="s">
        <v>659</v>
      </c>
      <c r="D64" s="473"/>
      <c r="E64" s="475"/>
      <c r="F64" s="473"/>
      <c r="G64" s="473"/>
      <c r="H64" s="473"/>
      <c r="I64" s="473"/>
      <c r="J64" s="473"/>
      <c r="K64" s="475"/>
      <c r="L64" s="473"/>
      <c r="M64" s="475"/>
      <c r="N64" s="473"/>
      <c r="O64" s="473"/>
      <c r="P64" s="473"/>
      <c r="Q64" s="475"/>
      <c r="R64" s="473"/>
      <c r="S64" s="475"/>
      <c r="T64" s="473"/>
      <c r="U64" s="475"/>
      <c r="V64" s="477"/>
      <c r="W64" s="475"/>
      <c r="X64" s="473"/>
      <c r="Y64" s="475"/>
      <c r="Z64" s="473">
        <v>460</v>
      </c>
      <c r="AA64" s="461"/>
      <c r="AB64" s="461"/>
      <c r="AC64" s="461"/>
      <c r="AD64" s="462"/>
    </row>
    <row r="65" spans="1:30" ht="14.25" x14ac:dyDescent="0.2">
      <c r="A65" s="484"/>
      <c r="B65" s="461"/>
      <c r="C65" s="461" t="s">
        <v>660</v>
      </c>
      <c r="D65" s="478"/>
      <c r="E65" s="475"/>
      <c r="F65" s="482"/>
      <c r="G65" s="482"/>
      <c r="H65" s="478"/>
      <c r="I65" s="482"/>
      <c r="J65" s="478"/>
      <c r="K65" s="475"/>
      <c r="L65" s="474"/>
      <c r="M65" s="475"/>
      <c r="N65" s="474"/>
      <c r="O65" s="474"/>
      <c r="P65" s="474"/>
      <c r="Q65" s="475"/>
      <c r="R65" s="473"/>
      <c r="S65" s="475"/>
      <c r="T65" s="474"/>
      <c r="U65" s="475"/>
      <c r="V65" s="474"/>
      <c r="W65" s="475"/>
      <c r="X65" s="474"/>
      <c r="Y65" s="475"/>
      <c r="Z65" s="475">
        <v>271</v>
      </c>
      <c r="AA65" s="461"/>
      <c r="AB65" s="461"/>
      <c r="AC65" s="461"/>
      <c r="AD65" s="462"/>
    </row>
    <row r="66" spans="1:30" x14ac:dyDescent="0.2">
      <c r="A66" s="484"/>
      <c r="B66" s="461"/>
      <c r="C66" s="462"/>
      <c r="D66" s="462"/>
      <c r="E66" s="462"/>
      <c r="F66" s="462"/>
      <c r="G66" s="462"/>
      <c r="H66" s="462"/>
      <c r="I66" s="462"/>
      <c r="J66" s="462"/>
      <c r="K66" s="461"/>
      <c r="L66" s="462"/>
      <c r="M66" s="462"/>
      <c r="N66" s="462"/>
      <c r="O66" s="462"/>
      <c r="P66" s="462"/>
      <c r="Q66" s="461"/>
      <c r="R66" s="462"/>
      <c r="S66" s="461"/>
      <c r="T66" s="462"/>
      <c r="U66" s="461"/>
      <c r="V66" s="462"/>
      <c r="W66" s="461"/>
      <c r="X66" s="462"/>
      <c r="Y66" s="461"/>
      <c r="Z66" s="461"/>
      <c r="AA66" s="461"/>
      <c r="AB66" s="461"/>
      <c r="AC66" s="461"/>
      <c r="AD66" s="462"/>
    </row>
    <row r="67" spans="1:30" x14ac:dyDescent="0.2">
      <c r="A67" s="484"/>
      <c r="B67" s="461"/>
      <c r="C67" s="462"/>
      <c r="D67" s="462"/>
      <c r="E67" s="462"/>
      <c r="F67" s="462"/>
      <c r="G67" s="462"/>
      <c r="H67" s="462"/>
      <c r="I67" s="462"/>
      <c r="J67" s="462"/>
      <c r="K67" s="461"/>
      <c r="L67" s="462"/>
      <c r="M67" s="462"/>
      <c r="N67" s="462"/>
      <c r="O67" s="462"/>
      <c r="P67" s="462"/>
      <c r="Q67" s="461"/>
      <c r="R67" s="462"/>
      <c r="S67" s="461"/>
      <c r="T67" s="462"/>
      <c r="U67" s="461"/>
      <c r="V67" s="462"/>
      <c r="W67" s="461"/>
      <c r="X67" s="462"/>
      <c r="Y67" s="461"/>
      <c r="Z67" s="461"/>
      <c r="AA67" s="461"/>
      <c r="AB67" s="461"/>
      <c r="AC67" s="461"/>
      <c r="AD67" s="462"/>
    </row>
    <row r="68" spans="1:30" x14ac:dyDescent="0.2">
      <c r="A68" s="484"/>
      <c r="B68" s="461"/>
      <c r="C68" s="462"/>
      <c r="D68" s="462"/>
      <c r="E68" s="462"/>
      <c r="F68" s="462"/>
      <c r="G68" s="462"/>
      <c r="H68" s="462"/>
      <c r="I68" s="462"/>
      <c r="J68" s="462"/>
      <c r="K68" s="461"/>
      <c r="L68" s="462"/>
      <c r="M68" s="462"/>
      <c r="N68" s="462"/>
      <c r="O68" s="462"/>
      <c r="P68" s="462"/>
      <c r="Q68" s="461"/>
      <c r="R68" s="462"/>
      <c r="S68" s="461"/>
      <c r="T68" s="462"/>
      <c r="U68" s="461"/>
      <c r="V68" s="462"/>
      <c r="W68" s="461"/>
      <c r="X68" s="462"/>
      <c r="Y68" s="461"/>
      <c r="Z68" s="461"/>
      <c r="AA68" s="461"/>
      <c r="AB68" s="461"/>
      <c r="AC68" s="461"/>
      <c r="AD68" s="462"/>
    </row>
    <row r="69" spans="1:30" x14ac:dyDescent="0.2">
      <c r="A69" s="484"/>
      <c r="B69" s="461"/>
      <c r="C69" s="462"/>
      <c r="D69" s="462"/>
      <c r="E69" s="462"/>
      <c r="F69" s="462"/>
      <c r="G69" s="462"/>
      <c r="H69" s="462"/>
      <c r="I69" s="462"/>
      <c r="J69" s="462"/>
      <c r="K69" s="461"/>
      <c r="L69" s="462"/>
      <c r="M69" s="462"/>
      <c r="N69" s="462"/>
      <c r="O69" s="462"/>
      <c r="P69" s="462"/>
      <c r="Q69" s="461"/>
      <c r="R69" s="462"/>
      <c r="S69" s="461"/>
      <c r="T69" s="462"/>
      <c r="U69" s="461"/>
      <c r="V69" s="462"/>
      <c r="W69" s="461"/>
      <c r="X69" s="462"/>
      <c r="Y69" s="461"/>
      <c r="Z69" s="461"/>
      <c r="AA69" s="461"/>
      <c r="AB69" s="461"/>
      <c r="AC69" s="461"/>
      <c r="AD69" s="462"/>
    </row>
    <row r="70" spans="1:30" x14ac:dyDescent="0.2">
      <c r="A70" s="484"/>
      <c r="B70" s="461"/>
      <c r="C70" s="462"/>
      <c r="D70" s="462"/>
      <c r="E70" s="462"/>
      <c r="F70" s="462"/>
      <c r="G70" s="462"/>
      <c r="H70" s="462"/>
      <c r="I70" s="462"/>
      <c r="J70" s="462"/>
      <c r="K70" s="461"/>
      <c r="L70" s="462"/>
      <c r="M70" s="462"/>
      <c r="N70" s="462"/>
      <c r="O70" s="462"/>
      <c r="P70" s="462"/>
      <c r="Q70" s="461"/>
      <c r="R70" s="462"/>
      <c r="S70" s="461"/>
      <c r="T70" s="462"/>
      <c r="U70" s="461"/>
      <c r="V70" s="462"/>
      <c r="W70" s="461"/>
      <c r="X70" s="462"/>
      <c r="Y70" s="461"/>
      <c r="Z70" s="461"/>
      <c r="AA70" s="461"/>
      <c r="AB70" s="461"/>
      <c r="AC70" s="461"/>
      <c r="AD70" s="462"/>
    </row>
    <row r="71" spans="1:30" x14ac:dyDescent="0.2">
      <c r="A71" s="484"/>
      <c r="B71" s="461"/>
      <c r="C71" s="462"/>
      <c r="D71" s="462"/>
      <c r="E71" s="462"/>
      <c r="F71" s="462"/>
      <c r="G71" s="462"/>
      <c r="H71" s="462"/>
      <c r="I71" s="462"/>
      <c r="J71" s="462"/>
      <c r="K71" s="461"/>
      <c r="L71" s="462"/>
      <c r="M71" s="462"/>
      <c r="N71" s="462"/>
      <c r="O71" s="462"/>
      <c r="P71" s="462"/>
      <c r="Q71" s="461"/>
      <c r="R71" s="462"/>
      <c r="S71" s="461"/>
      <c r="T71" s="462"/>
      <c r="U71" s="461"/>
      <c r="V71" s="462"/>
      <c r="W71" s="461"/>
      <c r="X71" s="462"/>
      <c r="Y71" s="461"/>
      <c r="Z71" s="461"/>
      <c r="AA71" s="461"/>
      <c r="AB71" s="461"/>
      <c r="AC71" s="461"/>
      <c r="AD71" s="462"/>
    </row>
    <row r="72" spans="1:30" x14ac:dyDescent="0.2">
      <c r="A72" s="484"/>
      <c r="B72" s="461"/>
      <c r="C72" s="462"/>
      <c r="D72" s="462"/>
      <c r="E72" s="462"/>
      <c r="F72" s="462"/>
      <c r="G72" s="462"/>
      <c r="H72" s="462"/>
      <c r="I72" s="462"/>
      <c r="J72" s="462"/>
      <c r="K72" s="461"/>
      <c r="L72" s="462"/>
      <c r="M72" s="462"/>
      <c r="N72" s="462"/>
      <c r="O72" s="462"/>
      <c r="P72" s="462"/>
      <c r="Q72" s="461"/>
      <c r="R72" s="462"/>
      <c r="S72" s="461"/>
      <c r="T72" s="462"/>
      <c r="U72" s="461"/>
      <c r="V72" s="462"/>
      <c r="W72" s="461"/>
      <c r="X72" s="462"/>
      <c r="Y72" s="461"/>
      <c r="Z72" s="461"/>
      <c r="AA72" s="461"/>
      <c r="AB72" s="461"/>
      <c r="AC72" s="461"/>
      <c r="AD72" s="462"/>
    </row>
    <row r="73" spans="1:30" x14ac:dyDescent="0.2">
      <c r="A73" s="484"/>
      <c r="B73" s="461"/>
      <c r="C73" s="462"/>
      <c r="D73" s="462"/>
      <c r="E73" s="462"/>
      <c r="F73" s="462"/>
      <c r="G73" s="462"/>
      <c r="H73" s="462"/>
      <c r="I73" s="462"/>
      <c r="J73" s="462"/>
      <c r="K73" s="461"/>
      <c r="L73" s="462"/>
      <c r="M73" s="462"/>
      <c r="N73" s="462"/>
      <c r="O73" s="462"/>
      <c r="P73" s="462"/>
      <c r="Q73" s="461"/>
      <c r="R73" s="462"/>
      <c r="S73" s="461"/>
      <c r="T73" s="462"/>
      <c r="U73" s="461"/>
      <c r="V73" s="462"/>
      <c r="W73" s="461"/>
      <c r="X73" s="462"/>
      <c r="Y73" s="461"/>
      <c r="Z73" s="461"/>
      <c r="AA73" s="461"/>
      <c r="AB73" s="461"/>
      <c r="AC73" s="461"/>
      <c r="AD73" s="462"/>
    </row>
    <row r="74" spans="1:30" x14ac:dyDescent="0.2">
      <c r="A74" s="484"/>
      <c r="B74" s="461"/>
      <c r="C74" s="462"/>
      <c r="D74" s="462"/>
      <c r="E74" s="462"/>
      <c r="F74" s="462"/>
      <c r="G74" s="462"/>
      <c r="H74" s="462"/>
      <c r="I74" s="462"/>
      <c r="J74" s="462"/>
      <c r="K74" s="461"/>
      <c r="L74" s="462"/>
      <c r="M74" s="462"/>
      <c r="N74" s="462"/>
      <c r="O74" s="462"/>
      <c r="P74" s="462"/>
      <c r="Q74" s="461"/>
      <c r="R74" s="462"/>
      <c r="S74" s="461"/>
      <c r="T74" s="462"/>
      <c r="U74" s="461"/>
      <c r="V74" s="462"/>
      <c r="W74" s="461"/>
      <c r="X74" s="462"/>
      <c r="Y74" s="461"/>
      <c r="Z74" s="461"/>
      <c r="AA74" s="461"/>
      <c r="AB74" s="461"/>
      <c r="AC74" s="461"/>
      <c r="AD74" s="462"/>
    </row>
    <row r="75" spans="1:30" x14ac:dyDescent="0.2">
      <c r="A75" s="484"/>
      <c r="B75" s="461"/>
      <c r="C75" s="462"/>
      <c r="D75" s="462"/>
      <c r="E75" s="462"/>
      <c r="F75" s="462"/>
      <c r="G75" s="462"/>
      <c r="H75" s="462"/>
      <c r="I75" s="462"/>
      <c r="J75" s="462"/>
      <c r="K75" s="461"/>
      <c r="L75" s="462"/>
      <c r="M75" s="462"/>
      <c r="N75" s="462"/>
      <c r="O75" s="462"/>
      <c r="P75" s="462"/>
      <c r="Q75" s="461"/>
      <c r="R75" s="462"/>
      <c r="S75" s="461"/>
      <c r="T75" s="462"/>
      <c r="U75" s="461"/>
      <c r="V75" s="462"/>
      <c r="W75" s="461"/>
      <c r="X75" s="462"/>
      <c r="Y75" s="461"/>
      <c r="Z75" s="461"/>
      <c r="AA75" s="461"/>
      <c r="AB75" s="461"/>
      <c r="AC75" s="461"/>
      <c r="AD75" s="462"/>
    </row>
    <row r="76" spans="1:30" x14ac:dyDescent="0.2">
      <c r="A76" s="484"/>
      <c r="B76" s="461"/>
      <c r="C76" s="462"/>
      <c r="D76" s="462"/>
      <c r="E76" s="462"/>
      <c r="F76" s="462"/>
      <c r="G76" s="462"/>
      <c r="H76" s="462"/>
      <c r="I76" s="462"/>
      <c r="J76" s="462"/>
      <c r="K76" s="461"/>
      <c r="L76" s="462"/>
      <c r="M76" s="462"/>
      <c r="N76" s="462"/>
      <c r="O76" s="462"/>
      <c r="P76" s="462"/>
      <c r="Q76" s="461"/>
      <c r="R76" s="462"/>
      <c r="S76" s="461"/>
      <c r="T76" s="462"/>
      <c r="U76" s="461"/>
      <c r="V76" s="462"/>
      <c r="W76" s="461"/>
      <c r="X76" s="462"/>
      <c r="Y76" s="461"/>
      <c r="Z76" s="461"/>
      <c r="AA76" s="461"/>
      <c r="AB76" s="461"/>
      <c r="AC76" s="461"/>
      <c r="AD76" s="462"/>
    </row>
    <row r="77" spans="1:30" x14ac:dyDescent="0.2">
      <c r="A77" s="484"/>
      <c r="B77" s="461"/>
      <c r="C77" s="462"/>
      <c r="D77" s="462"/>
      <c r="E77" s="462"/>
      <c r="F77" s="462"/>
      <c r="G77" s="462"/>
      <c r="H77" s="462"/>
      <c r="I77" s="462"/>
      <c r="J77" s="462"/>
      <c r="K77" s="461"/>
      <c r="L77" s="462"/>
      <c r="M77" s="462"/>
      <c r="N77" s="462"/>
      <c r="O77" s="462"/>
      <c r="P77" s="462"/>
      <c r="Q77" s="461"/>
      <c r="R77" s="462"/>
      <c r="S77" s="461"/>
      <c r="T77" s="462"/>
      <c r="U77" s="461"/>
      <c r="V77" s="462"/>
      <c r="W77" s="461"/>
      <c r="X77" s="462"/>
      <c r="Y77" s="461"/>
      <c r="Z77" s="461"/>
      <c r="AA77" s="461"/>
      <c r="AB77" s="461"/>
      <c r="AC77" s="461"/>
      <c r="AD77" s="462"/>
    </row>
    <row r="78" spans="1:30" x14ac:dyDescent="0.2">
      <c r="A78" s="484"/>
      <c r="B78" s="461"/>
      <c r="C78" s="462"/>
      <c r="D78" s="462"/>
      <c r="E78" s="462"/>
      <c r="F78" s="462"/>
      <c r="G78" s="462"/>
      <c r="H78" s="462"/>
      <c r="I78" s="462"/>
      <c r="J78" s="462"/>
      <c r="K78" s="461"/>
      <c r="L78" s="462"/>
      <c r="M78" s="462"/>
      <c r="N78" s="462"/>
      <c r="O78" s="462"/>
      <c r="P78" s="462"/>
      <c r="Q78" s="461"/>
      <c r="R78" s="462"/>
      <c r="S78" s="461"/>
      <c r="T78" s="462"/>
      <c r="U78" s="461"/>
      <c r="V78" s="462"/>
      <c r="W78" s="461"/>
      <c r="X78" s="462"/>
      <c r="Y78" s="461"/>
      <c r="Z78" s="461"/>
      <c r="AA78" s="461"/>
      <c r="AB78" s="461"/>
      <c r="AC78" s="461"/>
      <c r="AD78" s="462"/>
    </row>
    <row r="80" spans="1:30" x14ac:dyDescent="0.2">
      <c r="A80" s="485"/>
      <c r="B80" s="461"/>
      <c r="C80" s="462"/>
      <c r="D80" s="462"/>
      <c r="E80" s="462"/>
      <c r="F80" s="462"/>
      <c r="G80" s="462"/>
      <c r="H80" s="462"/>
      <c r="I80" s="462"/>
      <c r="J80" s="462"/>
      <c r="K80" s="461"/>
      <c r="L80" s="462"/>
      <c r="M80" s="462"/>
      <c r="N80" s="462"/>
      <c r="O80" s="462"/>
      <c r="P80" s="462"/>
      <c r="Q80" s="461"/>
      <c r="R80" s="462"/>
      <c r="S80" s="461"/>
      <c r="T80" s="462"/>
      <c r="U80" s="461"/>
      <c r="V80" s="462"/>
      <c r="W80" s="461"/>
      <c r="X80" s="462"/>
      <c r="Y80" s="461"/>
      <c r="Z80" s="461"/>
      <c r="AA80" s="461"/>
      <c r="AB80" s="461"/>
      <c r="AC80" s="461"/>
      <c r="AD80" s="462"/>
    </row>
    <row r="81" spans="1:30" x14ac:dyDescent="0.2">
      <c r="A81" s="485"/>
      <c r="B81" s="461"/>
      <c r="C81" s="462"/>
      <c r="D81" s="462"/>
      <c r="E81" s="462"/>
      <c r="F81" s="462"/>
      <c r="G81" s="462"/>
      <c r="H81" s="462"/>
      <c r="I81" s="462"/>
      <c r="J81" s="462"/>
      <c r="K81" s="461"/>
      <c r="L81" s="462"/>
      <c r="M81" s="462"/>
      <c r="N81" s="462"/>
      <c r="O81" s="462"/>
      <c r="P81" s="462"/>
      <c r="Q81" s="461"/>
      <c r="R81" s="462"/>
      <c r="S81" s="461"/>
      <c r="T81" s="462"/>
      <c r="U81" s="461"/>
      <c r="V81" s="462"/>
      <c r="W81" s="461"/>
      <c r="X81" s="462"/>
      <c r="Y81" s="461"/>
      <c r="Z81" s="461"/>
      <c r="AA81" s="461"/>
      <c r="AB81" s="461"/>
      <c r="AC81" s="461"/>
      <c r="AD81" s="462"/>
    </row>
    <row r="82" spans="1:30" x14ac:dyDescent="0.2">
      <c r="A82" s="485"/>
      <c r="B82" s="461"/>
      <c r="C82" s="462"/>
      <c r="D82" s="462"/>
      <c r="E82" s="462"/>
      <c r="F82" s="462"/>
      <c r="G82" s="462"/>
      <c r="H82" s="462"/>
      <c r="I82" s="462"/>
      <c r="J82" s="462"/>
      <c r="K82" s="461"/>
      <c r="L82" s="462"/>
      <c r="M82" s="462"/>
      <c r="N82" s="462"/>
      <c r="O82" s="462"/>
      <c r="P82" s="462"/>
      <c r="Q82" s="461"/>
      <c r="R82" s="462"/>
      <c r="S82" s="461"/>
      <c r="T82" s="462"/>
      <c r="U82" s="461"/>
      <c r="V82" s="462"/>
      <c r="W82" s="461"/>
      <c r="X82" s="462"/>
      <c r="Y82" s="461"/>
      <c r="Z82" s="461"/>
      <c r="AA82" s="461"/>
      <c r="AB82" s="461"/>
      <c r="AC82" s="461"/>
      <c r="AD82" s="462"/>
    </row>
    <row r="83" spans="1:30" x14ac:dyDescent="0.2">
      <c r="A83" s="485"/>
      <c r="B83" s="461"/>
      <c r="C83" s="462"/>
      <c r="D83" s="462"/>
      <c r="E83" s="462"/>
      <c r="F83" s="462"/>
      <c r="G83" s="462"/>
      <c r="H83" s="462"/>
      <c r="I83" s="462"/>
      <c r="J83" s="462"/>
      <c r="K83" s="461"/>
      <c r="L83" s="462"/>
      <c r="M83" s="462"/>
      <c r="N83" s="462"/>
      <c r="O83" s="462"/>
      <c r="P83" s="462"/>
      <c r="Q83" s="461"/>
      <c r="R83" s="462"/>
      <c r="S83" s="461"/>
      <c r="T83" s="462"/>
      <c r="U83" s="461"/>
      <c r="V83" s="462"/>
      <c r="W83" s="461"/>
      <c r="X83" s="462"/>
      <c r="Y83" s="461"/>
      <c r="Z83" s="461"/>
      <c r="AA83" s="461"/>
      <c r="AB83" s="461"/>
      <c r="AC83" s="461"/>
      <c r="AD83" s="462"/>
    </row>
    <row r="84" spans="1:30" x14ac:dyDescent="0.2">
      <c r="A84" s="485"/>
      <c r="B84" s="461"/>
      <c r="C84" s="462"/>
      <c r="D84" s="462"/>
      <c r="E84" s="462"/>
      <c r="F84" s="462"/>
      <c r="G84" s="462"/>
      <c r="H84" s="462"/>
      <c r="I84" s="462"/>
      <c r="J84" s="462"/>
      <c r="K84" s="461"/>
      <c r="L84" s="462"/>
      <c r="M84" s="462"/>
      <c r="N84" s="462"/>
      <c r="O84" s="462"/>
      <c r="P84" s="462"/>
      <c r="Q84" s="461"/>
      <c r="R84" s="462"/>
      <c r="S84" s="461"/>
      <c r="T84" s="462"/>
      <c r="U84" s="461"/>
      <c r="V84" s="462"/>
      <c r="W84" s="461"/>
      <c r="X84" s="462"/>
      <c r="Y84" s="461"/>
      <c r="Z84" s="461"/>
      <c r="AA84" s="461"/>
      <c r="AB84" s="461"/>
      <c r="AC84" s="461"/>
      <c r="AD84" s="462"/>
    </row>
    <row r="85" spans="1:30" x14ac:dyDescent="0.2">
      <c r="A85" s="485"/>
      <c r="B85" s="461"/>
      <c r="C85" s="462"/>
      <c r="D85" s="462"/>
      <c r="E85" s="462"/>
      <c r="F85" s="462"/>
      <c r="G85" s="462"/>
      <c r="H85" s="462"/>
      <c r="I85" s="462"/>
      <c r="J85" s="462"/>
      <c r="K85" s="461"/>
      <c r="L85" s="462"/>
      <c r="M85" s="462"/>
      <c r="N85" s="462"/>
      <c r="O85" s="462"/>
      <c r="P85" s="462"/>
      <c r="Q85" s="461"/>
      <c r="R85" s="462"/>
      <c r="S85" s="461"/>
      <c r="T85" s="462"/>
      <c r="U85" s="461"/>
      <c r="V85" s="462"/>
      <c r="W85" s="461"/>
      <c r="X85" s="462"/>
      <c r="Y85" s="461"/>
      <c r="Z85" s="461"/>
      <c r="AA85" s="461"/>
      <c r="AB85" s="461"/>
      <c r="AC85" s="461"/>
      <c r="AD85" s="462"/>
    </row>
    <row r="86" spans="1:30" x14ac:dyDescent="0.2">
      <c r="A86" s="485"/>
      <c r="B86" s="461"/>
      <c r="C86" s="462"/>
      <c r="D86" s="462"/>
      <c r="E86" s="462"/>
      <c r="F86" s="462"/>
      <c r="G86" s="462"/>
      <c r="H86" s="462"/>
      <c r="I86" s="462"/>
      <c r="J86" s="462"/>
      <c r="K86" s="461"/>
      <c r="L86" s="462"/>
      <c r="M86" s="462"/>
      <c r="N86" s="462"/>
      <c r="O86" s="462"/>
      <c r="P86" s="462"/>
      <c r="Q86" s="461"/>
      <c r="R86" s="462"/>
      <c r="S86" s="461"/>
      <c r="T86" s="462"/>
      <c r="U86" s="461"/>
      <c r="V86" s="462"/>
      <c r="W86" s="461"/>
      <c r="X86" s="462"/>
      <c r="Y86" s="461"/>
      <c r="Z86" s="461"/>
      <c r="AA86" s="461"/>
      <c r="AB86" s="461"/>
      <c r="AC86" s="461"/>
      <c r="AD86" s="462"/>
    </row>
    <row r="87" spans="1:30" x14ac:dyDescent="0.2">
      <c r="A87" s="485"/>
      <c r="B87" s="461"/>
      <c r="C87" s="462"/>
      <c r="D87" s="462"/>
      <c r="E87" s="462"/>
      <c r="F87" s="462"/>
      <c r="G87" s="462"/>
      <c r="H87" s="462"/>
      <c r="I87" s="462"/>
      <c r="J87" s="462"/>
      <c r="K87" s="461"/>
      <c r="L87" s="462"/>
      <c r="M87" s="462"/>
      <c r="N87" s="462"/>
      <c r="O87" s="462"/>
      <c r="P87" s="462"/>
      <c r="Q87" s="461"/>
      <c r="R87" s="462"/>
      <c r="S87" s="461"/>
      <c r="T87" s="462"/>
      <c r="U87" s="461"/>
      <c r="V87" s="462"/>
      <c r="W87" s="461"/>
      <c r="X87" s="462"/>
      <c r="Y87" s="461"/>
      <c r="Z87" s="461"/>
      <c r="AA87" s="461"/>
      <c r="AB87" s="461"/>
      <c r="AC87" s="461"/>
      <c r="AD87" s="462"/>
    </row>
    <row r="88" spans="1:30" x14ac:dyDescent="0.2">
      <c r="A88" s="485"/>
      <c r="B88" s="461"/>
      <c r="C88" s="462"/>
      <c r="D88" s="462"/>
      <c r="E88" s="462"/>
      <c r="F88" s="462"/>
      <c r="G88" s="462"/>
      <c r="H88" s="462"/>
      <c r="I88" s="462"/>
      <c r="J88" s="462"/>
      <c r="K88" s="461"/>
      <c r="L88" s="462"/>
      <c r="M88" s="462"/>
      <c r="N88" s="462"/>
      <c r="O88" s="462"/>
      <c r="P88" s="462"/>
      <c r="Q88" s="461"/>
      <c r="R88" s="462"/>
      <c r="S88" s="461"/>
      <c r="T88" s="462"/>
      <c r="U88" s="461"/>
      <c r="V88" s="462"/>
      <c r="W88" s="461"/>
      <c r="X88" s="462"/>
      <c r="Y88" s="461"/>
      <c r="Z88" s="461"/>
      <c r="AA88" s="461"/>
      <c r="AB88" s="461"/>
      <c r="AC88" s="461"/>
      <c r="AD88" s="462"/>
    </row>
    <row r="89" spans="1:30" x14ac:dyDescent="0.2">
      <c r="A89" s="485"/>
      <c r="B89" s="461"/>
      <c r="C89" s="462"/>
      <c r="D89" s="462"/>
      <c r="E89" s="462"/>
      <c r="F89" s="462"/>
      <c r="G89" s="462"/>
      <c r="H89" s="462"/>
      <c r="I89" s="462"/>
      <c r="J89" s="462"/>
      <c r="K89" s="461"/>
      <c r="L89" s="462"/>
      <c r="M89" s="462"/>
      <c r="N89" s="462"/>
      <c r="O89" s="462"/>
      <c r="P89" s="462"/>
      <c r="Q89" s="461"/>
      <c r="R89" s="462"/>
      <c r="S89" s="461"/>
      <c r="T89" s="462"/>
      <c r="U89" s="461"/>
      <c r="V89" s="462"/>
      <c r="W89" s="461"/>
      <c r="X89" s="462"/>
      <c r="Y89" s="461"/>
      <c r="Z89" s="461"/>
      <c r="AA89" s="461"/>
      <c r="AB89" s="461"/>
      <c r="AC89" s="461"/>
      <c r="AD89" s="462"/>
    </row>
    <row r="90" spans="1:30" x14ac:dyDescent="0.2">
      <c r="A90" s="485"/>
      <c r="B90" s="461"/>
      <c r="C90" s="462"/>
      <c r="D90" s="462"/>
      <c r="E90" s="462"/>
      <c r="F90" s="462"/>
      <c r="G90" s="462"/>
      <c r="H90" s="462"/>
      <c r="I90" s="462"/>
      <c r="J90" s="462"/>
      <c r="K90" s="461"/>
      <c r="L90" s="462"/>
      <c r="M90" s="462"/>
      <c r="N90" s="462"/>
      <c r="O90" s="462"/>
      <c r="P90" s="462"/>
      <c r="Q90" s="461"/>
      <c r="R90" s="462"/>
      <c r="S90" s="461"/>
      <c r="T90" s="462"/>
      <c r="U90" s="461"/>
      <c r="V90" s="462"/>
      <c r="W90" s="461"/>
      <c r="X90" s="462"/>
      <c r="Y90" s="461"/>
      <c r="Z90" s="461"/>
      <c r="AA90" s="461"/>
      <c r="AB90" s="461"/>
      <c r="AC90" s="461"/>
      <c r="AD90" s="462"/>
    </row>
    <row r="91" spans="1:30" x14ac:dyDescent="0.2">
      <c r="A91" s="485"/>
      <c r="B91" s="461"/>
      <c r="C91" s="462"/>
      <c r="D91" s="462"/>
      <c r="E91" s="462"/>
      <c r="F91" s="462"/>
      <c r="G91" s="462"/>
      <c r="H91" s="462"/>
      <c r="I91" s="462"/>
      <c r="J91" s="462"/>
      <c r="K91" s="461"/>
      <c r="L91" s="462"/>
      <c r="M91" s="462"/>
      <c r="N91" s="462"/>
      <c r="O91" s="462"/>
      <c r="P91" s="462"/>
      <c r="Q91" s="461"/>
      <c r="R91" s="462"/>
      <c r="S91" s="461"/>
      <c r="T91" s="462"/>
      <c r="U91" s="461"/>
      <c r="V91" s="462"/>
      <c r="W91" s="461"/>
      <c r="X91" s="462"/>
      <c r="Y91" s="461"/>
      <c r="Z91" s="461"/>
      <c r="AA91" s="461"/>
      <c r="AB91" s="461"/>
      <c r="AC91" s="461"/>
      <c r="AD91" s="462"/>
    </row>
    <row r="92" spans="1:30" x14ac:dyDescent="0.2">
      <c r="A92" s="485"/>
      <c r="B92" s="461"/>
      <c r="C92" s="462"/>
      <c r="D92" s="462"/>
      <c r="E92" s="462"/>
      <c r="F92" s="462"/>
      <c r="G92" s="462"/>
      <c r="H92" s="462"/>
      <c r="I92" s="462"/>
      <c r="J92" s="462"/>
      <c r="K92" s="461"/>
      <c r="L92" s="462"/>
      <c r="M92" s="462"/>
      <c r="N92" s="462"/>
      <c r="O92" s="462"/>
      <c r="P92" s="462"/>
      <c r="Q92" s="461"/>
      <c r="R92" s="462"/>
      <c r="S92" s="461"/>
      <c r="T92" s="462"/>
      <c r="U92" s="461"/>
      <c r="V92" s="462"/>
      <c r="W92" s="461"/>
      <c r="X92" s="462"/>
      <c r="Y92" s="461"/>
      <c r="Z92" s="461"/>
      <c r="AA92" s="461"/>
      <c r="AB92" s="461"/>
      <c r="AC92" s="461"/>
      <c r="AD92" s="462"/>
    </row>
    <row r="93" spans="1:30" x14ac:dyDescent="0.2">
      <c r="A93" s="485"/>
      <c r="B93" s="461"/>
      <c r="C93" s="462"/>
      <c r="D93" s="462"/>
      <c r="E93" s="462"/>
      <c r="F93" s="462"/>
      <c r="G93" s="462"/>
      <c r="H93" s="462"/>
      <c r="I93" s="462"/>
      <c r="J93" s="462"/>
      <c r="K93" s="461"/>
      <c r="L93" s="462"/>
      <c r="M93" s="462"/>
      <c r="N93" s="462"/>
      <c r="O93" s="462"/>
      <c r="P93" s="462"/>
      <c r="Q93" s="461"/>
      <c r="R93" s="462"/>
      <c r="S93" s="461"/>
      <c r="T93" s="462"/>
      <c r="U93" s="461"/>
      <c r="V93" s="462"/>
      <c r="W93" s="461"/>
      <c r="X93" s="462"/>
      <c r="Y93" s="461"/>
      <c r="Z93" s="461"/>
      <c r="AA93" s="461"/>
      <c r="AB93" s="461"/>
      <c r="AC93" s="461"/>
      <c r="AD93" s="462"/>
    </row>
    <row r="94" spans="1:30" x14ac:dyDescent="0.2">
      <c r="A94" s="485"/>
      <c r="B94" s="461"/>
      <c r="C94" s="462"/>
      <c r="D94" s="462"/>
      <c r="E94" s="462"/>
      <c r="F94" s="462"/>
      <c r="G94" s="462"/>
      <c r="H94" s="462"/>
      <c r="I94" s="462"/>
      <c r="J94" s="462"/>
      <c r="K94" s="461"/>
      <c r="L94" s="462"/>
      <c r="M94" s="462"/>
      <c r="N94" s="462"/>
      <c r="O94" s="462"/>
      <c r="P94" s="462"/>
      <c r="Q94" s="461"/>
      <c r="R94" s="462"/>
      <c r="S94" s="461"/>
      <c r="T94" s="462"/>
      <c r="U94" s="461"/>
      <c r="V94" s="462"/>
      <c r="W94" s="461"/>
      <c r="X94" s="462"/>
      <c r="Y94" s="461"/>
      <c r="Z94" s="461"/>
      <c r="AA94" s="461"/>
      <c r="AB94" s="461"/>
      <c r="AC94" s="461"/>
      <c r="AD94" s="462"/>
    </row>
    <row r="95" spans="1:30" x14ac:dyDescent="0.2">
      <c r="A95" s="485"/>
      <c r="B95" s="461"/>
      <c r="C95" s="462"/>
      <c r="D95" s="462"/>
      <c r="E95" s="462"/>
      <c r="F95" s="462"/>
      <c r="G95" s="462"/>
      <c r="H95" s="462"/>
      <c r="I95" s="462"/>
      <c r="J95" s="462"/>
      <c r="K95" s="461"/>
      <c r="L95" s="462"/>
      <c r="M95" s="462"/>
      <c r="N95" s="462"/>
      <c r="O95" s="462"/>
      <c r="P95" s="462"/>
      <c r="Q95" s="461"/>
      <c r="R95" s="462"/>
      <c r="S95" s="461"/>
      <c r="T95" s="462"/>
      <c r="U95" s="461"/>
      <c r="V95" s="462"/>
      <c r="W95" s="461"/>
      <c r="X95" s="462"/>
      <c r="Y95" s="461"/>
      <c r="Z95" s="461"/>
      <c r="AA95" s="461"/>
      <c r="AB95" s="461"/>
      <c r="AC95" s="461"/>
      <c r="AD95" s="462"/>
    </row>
    <row r="96" spans="1:30" x14ac:dyDescent="0.2">
      <c r="A96" s="485"/>
      <c r="B96" s="461"/>
      <c r="C96" s="462"/>
      <c r="D96" s="462"/>
      <c r="E96" s="462"/>
      <c r="F96" s="462"/>
      <c r="G96" s="462"/>
      <c r="H96" s="462"/>
      <c r="I96" s="462"/>
      <c r="J96" s="462"/>
      <c r="K96" s="461"/>
      <c r="L96" s="462"/>
      <c r="M96" s="462"/>
      <c r="N96" s="462"/>
      <c r="O96" s="462"/>
      <c r="P96" s="462"/>
      <c r="Q96" s="461"/>
      <c r="R96" s="462"/>
      <c r="S96" s="461"/>
      <c r="T96" s="462"/>
      <c r="U96" s="461"/>
      <c r="V96" s="462"/>
      <c r="W96" s="461"/>
      <c r="X96" s="462"/>
      <c r="Y96" s="461"/>
      <c r="Z96" s="461"/>
      <c r="AA96" s="461"/>
      <c r="AB96" s="461"/>
      <c r="AC96" s="461"/>
      <c r="AD96" s="462"/>
    </row>
    <row r="97" spans="1:30" x14ac:dyDescent="0.2">
      <c r="A97" s="485"/>
      <c r="B97" s="461"/>
      <c r="C97" s="462"/>
      <c r="D97" s="462"/>
      <c r="E97" s="462"/>
      <c r="F97" s="462"/>
      <c r="G97" s="462"/>
      <c r="H97" s="462"/>
      <c r="I97" s="462"/>
      <c r="J97" s="462"/>
      <c r="K97" s="461"/>
      <c r="L97" s="462"/>
      <c r="M97" s="462"/>
      <c r="N97" s="462"/>
      <c r="O97" s="462"/>
      <c r="P97" s="462"/>
      <c r="Q97" s="461"/>
      <c r="R97" s="462"/>
      <c r="S97" s="461"/>
      <c r="T97" s="462"/>
      <c r="U97" s="461"/>
      <c r="V97" s="462"/>
      <c r="W97" s="461"/>
      <c r="X97" s="462"/>
      <c r="Y97" s="461"/>
      <c r="Z97" s="461"/>
      <c r="AA97" s="461"/>
      <c r="AB97" s="461"/>
      <c r="AC97" s="461"/>
      <c r="AD97" s="462"/>
    </row>
    <row r="98" spans="1:30" x14ac:dyDescent="0.2">
      <c r="A98" s="485"/>
      <c r="B98" s="461"/>
      <c r="C98" s="462"/>
      <c r="D98" s="462"/>
      <c r="E98" s="462"/>
      <c r="F98" s="462"/>
      <c r="G98" s="462"/>
      <c r="H98" s="462"/>
      <c r="I98" s="462"/>
      <c r="J98" s="462"/>
      <c r="K98" s="461"/>
      <c r="L98" s="462"/>
      <c r="M98" s="462"/>
      <c r="N98" s="462"/>
      <c r="O98" s="462"/>
      <c r="P98" s="462"/>
      <c r="Q98" s="461"/>
      <c r="R98" s="462"/>
      <c r="S98" s="461"/>
      <c r="T98" s="462"/>
      <c r="U98" s="461"/>
      <c r="V98" s="462"/>
      <c r="W98" s="461"/>
      <c r="X98" s="462"/>
      <c r="Y98" s="461"/>
      <c r="Z98" s="461"/>
      <c r="AA98" s="461"/>
      <c r="AB98" s="461"/>
      <c r="AC98" s="461"/>
      <c r="AD98" s="462"/>
    </row>
    <row r="99" spans="1:30" x14ac:dyDescent="0.2">
      <c r="A99" s="485"/>
      <c r="B99" s="461"/>
      <c r="C99" s="462"/>
      <c r="D99" s="462"/>
      <c r="E99" s="462"/>
      <c r="F99" s="462"/>
      <c r="G99" s="462"/>
      <c r="H99" s="462"/>
      <c r="I99" s="462"/>
      <c r="J99" s="462"/>
      <c r="K99" s="461"/>
      <c r="L99" s="462"/>
      <c r="M99" s="462"/>
      <c r="N99" s="462"/>
      <c r="O99" s="462"/>
      <c r="P99" s="462"/>
      <c r="Q99" s="461"/>
      <c r="R99" s="462"/>
      <c r="S99" s="461"/>
      <c r="T99" s="462"/>
      <c r="U99" s="461"/>
      <c r="V99" s="462"/>
      <c r="W99" s="461"/>
      <c r="X99" s="462"/>
      <c r="Y99" s="461"/>
      <c r="Z99" s="461"/>
      <c r="AA99" s="461"/>
      <c r="AB99" s="461"/>
      <c r="AC99" s="461"/>
      <c r="AD99" s="462"/>
    </row>
    <row r="100" spans="1:30" x14ac:dyDescent="0.2">
      <c r="A100" s="485"/>
      <c r="B100" s="461"/>
      <c r="C100" s="462"/>
      <c r="D100" s="462"/>
      <c r="E100" s="462"/>
      <c r="F100" s="462"/>
      <c r="G100" s="462"/>
      <c r="H100" s="462"/>
      <c r="I100" s="462"/>
      <c r="J100" s="462"/>
      <c r="K100" s="461"/>
      <c r="L100" s="462"/>
      <c r="M100" s="462"/>
      <c r="N100" s="462"/>
      <c r="O100" s="462"/>
      <c r="P100" s="462"/>
      <c r="Q100" s="461"/>
      <c r="R100" s="462"/>
      <c r="S100" s="461"/>
      <c r="T100" s="462"/>
      <c r="U100" s="461"/>
      <c r="V100" s="462"/>
      <c r="W100" s="461"/>
      <c r="X100" s="462"/>
      <c r="Y100" s="461"/>
      <c r="Z100" s="461"/>
      <c r="AA100" s="461"/>
      <c r="AB100" s="461"/>
      <c r="AC100" s="461"/>
      <c r="AD100" s="462"/>
    </row>
    <row r="101" spans="1:30" x14ac:dyDescent="0.2">
      <c r="A101" s="485"/>
      <c r="B101" s="461"/>
      <c r="C101" s="462"/>
      <c r="D101" s="462"/>
      <c r="E101" s="462"/>
      <c r="F101" s="462"/>
      <c r="G101" s="462"/>
      <c r="H101" s="462"/>
      <c r="I101" s="462"/>
      <c r="J101" s="462"/>
      <c r="K101" s="461"/>
      <c r="L101" s="462"/>
      <c r="M101" s="462"/>
      <c r="N101" s="462"/>
      <c r="O101" s="462"/>
      <c r="P101" s="462"/>
      <c r="Q101" s="461"/>
      <c r="R101" s="462"/>
      <c r="S101" s="461"/>
      <c r="T101" s="462"/>
      <c r="U101" s="461"/>
      <c r="V101" s="462"/>
      <c r="W101" s="461"/>
      <c r="X101" s="462"/>
      <c r="Y101" s="461"/>
      <c r="Z101" s="461"/>
      <c r="AA101" s="461"/>
      <c r="AB101" s="461"/>
      <c r="AC101" s="461"/>
      <c r="AD101" s="462"/>
    </row>
    <row r="102" spans="1:30" x14ac:dyDescent="0.2">
      <c r="A102" s="485"/>
      <c r="B102" s="461"/>
      <c r="C102" s="462"/>
      <c r="D102" s="462"/>
      <c r="E102" s="462"/>
      <c r="F102" s="462"/>
      <c r="G102" s="462"/>
      <c r="H102" s="462"/>
      <c r="I102" s="462"/>
      <c r="J102" s="462"/>
      <c r="K102" s="461"/>
      <c r="L102" s="462"/>
      <c r="M102" s="462"/>
      <c r="N102" s="462"/>
      <c r="O102" s="462"/>
      <c r="P102" s="462"/>
      <c r="Q102" s="461"/>
      <c r="R102" s="462"/>
      <c r="S102" s="461"/>
      <c r="T102" s="462"/>
      <c r="U102" s="461"/>
      <c r="V102" s="462"/>
      <c r="W102" s="461"/>
      <c r="X102" s="462"/>
      <c r="Y102" s="461"/>
      <c r="Z102" s="461"/>
      <c r="AA102" s="461"/>
      <c r="AB102" s="461"/>
      <c r="AC102" s="461"/>
      <c r="AD102" s="462"/>
    </row>
    <row r="103" spans="1:30" x14ac:dyDescent="0.2">
      <c r="A103" s="485"/>
      <c r="B103" s="461"/>
      <c r="C103" s="462"/>
      <c r="D103" s="462"/>
      <c r="E103" s="462"/>
      <c r="F103" s="462"/>
      <c r="G103" s="462"/>
      <c r="H103" s="462"/>
      <c r="I103" s="462"/>
      <c r="J103" s="462"/>
      <c r="K103" s="461"/>
      <c r="L103" s="462"/>
      <c r="M103" s="462"/>
      <c r="N103" s="462"/>
      <c r="O103" s="462"/>
      <c r="P103" s="462"/>
      <c r="Q103" s="461"/>
      <c r="R103" s="462"/>
      <c r="S103" s="461"/>
      <c r="T103" s="462"/>
      <c r="U103" s="461"/>
      <c r="V103" s="462"/>
      <c r="W103" s="461"/>
      <c r="X103" s="462"/>
      <c r="Y103" s="461"/>
      <c r="Z103" s="461"/>
      <c r="AA103" s="461"/>
      <c r="AB103" s="461"/>
      <c r="AC103" s="461"/>
      <c r="AD103" s="462"/>
    </row>
    <row r="104" spans="1:30" x14ac:dyDescent="0.2">
      <c r="A104" s="485"/>
      <c r="B104" s="461"/>
      <c r="C104" s="462"/>
      <c r="D104" s="462"/>
      <c r="E104" s="462"/>
      <c r="F104" s="462"/>
      <c r="G104" s="462"/>
      <c r="H104" s="462"/>
      <c r="I104" s="462"/>
      <c r="J104" s="462"/>
      <c r="K104" s="461"/>
      <c r="L104" s="462"/>
      <c r="M104" s="462"/>
      <c r="N104" s="462"/>
      <c r="O104" s="462"/>
      <c r="P104" s="462"/>
      <c r="Q104" s="461"/>
      <c r="R104" s="462"/>
      <c r="S104" s="461"/>
      <c r="T104" s="462"/>
      <c r="U104" s="461"/>
      <c r="V104" s="462"/>
      <c r="W104" s="461"/>
      <c r="X104" s="462"/>
      <c r="Y104" s="461"/>
      <c r="Z104" s="461"/>
      <c r="AA104" s="461"/>
      <c r="AB104" s="461"/>
      <c r="AC104" s="461"/>
      <c r="AD104" s="462"/>
    </row>
    <row r="105" spans="1:30" x14ac:dyDescent="0.2">
      <c r="A105" s="485"/>
      <c r="B105" s="461"/>
      <c r="C105" s="462"/>
      <c r="D105" s="462"/>
      <c r="E105" s="462"/>
      <c r="F105" s="462"/>
      <c r="G105" s="462"/>
      <c r="H105" s="462"/>
      <c r="I105" s="462"/>
      <c r="J105" s="462"/>
      <c r="K105" s="461"/>
      <c r="L105" s="462"/>
      <c r="M105" s="462"/>
      <c r="N105" s="462"/>
      <c r="O105" s="462"/>
      <c r="P105" s="462"/>
      <c r="Q105" s="461"/>
      <c r="R105" s="462"/>
      <c r="S105" s="461"/>
      <c r="T105" s="462"/>
      <c r="U105" s="461"/>
      <c r="V105" s="462"/>
      <c r="W105" s="461"/>
      <c r="X105" s="462"/>
      <c r="Y105" s="461"/>
      <c r="Z105" s="461"/>
      <c r="AA105" s="461"/>
      <c r="AB105" s="461"/>
      <c r="AC105" s="461"/>
      <c r="AD105" s="462"/>
    </row>
    <row r="106" spans="1:30" x14ac:dyDescent="0.2">
      <c r="A106" s="485"/>
      <c r="B106" s="461"/>
      <c r="C106" s="462"/>
      <c r="D106" s="462"/>
      <c r="E106" s="462"/>
      <c r="F106" s="462"/>
      <c r="G106" s="462"/>
      <c r="H106" s="462"/>
      <c r="I106" s="462"/>
      <c r="J106" s="462"/>
      <c r="K106" s="461"/>
      <c r="L106" s="462"/>
      <c r="M106" s="462"/>
      <c r="N106" s="462"/>
      <c r="O106" s="462"/>
      <c r="P106" s="462"/>
      <c r="Q106" s="461"/>
      <c r="R106" s="462"/>
      <c r="S106" s="461"/>
      <c r="T106" s="462"/>
      <c r="U106" s="461"/>
      <c r="V106" s="462"/>
      <c r="W106" s="461"/>
      <c r="X106" s="462"/>
      <c r="Y106" s="461"/>
      <c r="Z106" s="461"/>
      <c r="AA106" s="461"/>
      <c r="AB106" s="461"/>
      <c r="AC106" s="461"/>
      <c r="AD106" s="462"/>
    </row>
    <row r="107" spans="1:30" x14ac:dyDescent="0.2">
      <c r="A107" s="485"/>
      <c r="B107" s="461"/>
      <c r="C107" s="462"/>
      <c r="D107" s="462"/>
      <c r="E107" s="462"/>
      <c r="F107" s="462"/>
      <c r="G107" s="462"/>
      <c r="H107" s="462"/>
      <c r="I107" s="462"/>
      <c r="J107" s="462"/>
      <c r="K107" s="461"/>
      <c r="L107" s="462"/>
      <c r="M107" s="462"/>
      <c r="N107" s="462"/>
      <c r="O107" s="462"/>
      <c r="P107" s="462"/>
      <c r="Q107" s="461"/>
      <c r="R107" s="462"/>
      <c r="S107" s="461"/>
      <c r="T107" s="462"/>
      <c r="U107" s="461"/>
      <c r="V107" s="462"/>
      <c r="W107" s="461"/>
      <c r="X107" s="462"/>
      <c r="Y107" s="461"/>
      <c r="Z107" s="461"/>
      <c r="AA107" s="461"/>
      <c r="AB107" s="461"/>
      <c r="AC107" s="461"/>
      <c r="AD107" s="462"/>
    </row>
    <row r="108" spans="1:30" x14ac:dyDescent="0.2">
      <c r="A108" s="485"/>
      <c r="B108" s="461"/>
      <c r="C108" s="462"/>
      <c r="D108" s="462"/>
      <c r="E108" s="462"/>
      <c r="F108" s="462"/>
      <c r="G108" s="462"/>
      <c r="H108" s="462"/>
      <c r="I108" s="462"/>
      <c r="J108" s="462"/>
      <c r="K108" s="461"/>
      <c r="L108" s="462"/>
      <c r="M108" s="462"/>
      <c r="N108" s="462"/>
      <c r="O108" s="462"/>
      <c r="P108" s="462"/>
      <c r="Q108" s="461"/>
      <c r="R108" s="462"/>
      <c r="S108" s="461"/>
      <c r="T108" s="462"/>
      <c r="U108" s="461"/>
      <c r="V108" s="462"/>
      <c r="W108" s="461"/>
      <c r="X108" s="462"/>
      <c r="Y108" s="461"/>
      <c r="Z108" s="461"/>
      <c r="AA108" s="461"/>
      <c r="AB108" s="461"/>
      <c r="AC108" s="461"/>
      <c r="AD108" s="462"/>
    </row>
    <row r="109" spans="1:30" x14ac:dyDescent="0.2">
      <c r="A109" s="485"/>
      <c r="B109" s="461"/>
      <c r="C109" s="462"/>
      <c r="D109" s="462"/>
      <c r="E109" s="462"/>
      <c r="F109" s="462"/>
      <c r="G109" s="462"/>
      <c r="H109" s="462"/>
      <c r="I109" s="462"/>
      <c r="J109" s="462"/>
      <c r="K109" s="461"/>
      <c r="L109" s="462"/>
      <c r="M109" s="462"/>
      <c r="N109" s="462"/>
      <c r="O109" s="462"/>
      <c r="P109" s="462"/>
      <c r="Q109" s="461"/>
      <c r="R109" s="462"/>
      <c r="S109" s="461"/>
      <c r="T109" s="462"/>
      <c r="U109" s="461"/>
      <c r="V109" s="462"/>
      <c r="W109" s="461"/>
      <c r="X109" s="462"/>
      <c r="Y109" s="461"/>
      <c r="Z109" s="461"/>
      <c r="AA109" s="461"/>
      <c r="AB109" s="461"/>
      <c r="AC109" s="461"/>
      <c r="AD109" s="462"/>
    </row>
    <row r="110" spans="1:30" x14ac:dyDescent="0.2">
      <c r="A110" s="485"/>
      <c r="B110" s="461"/>
      <c r="C110" s="462"/>
      <c r="D110" s="462"/>
      <c r="E110" s="462"/>
      <c r="F110" s="462"/>
      <c r="G110" s="462"/>
      <c r="H110" s="462"/>
      <c r="I110" s="462"/>
      <c r="J110" s="462"/>
      <c r="K110" s="461"/>
      <c r="L110" s="462"/>
      <c r="M110" s="462"/>
      <c r="N110" s="462"/>
      <c r="O110" s="462"/>
      <c r="P110" s="462"/>
      <c r="Q110" s="461"/>
      <c r="R110" s="462"/>
      <c r="S110" s="461"/>
      <c r="T110" s="462"/>
      <c r="U110" s="461"/>
      <c r="V110" s="462"/>
      <c r="W110" s="461"/>
      <c r="X110" s="462"/>
      <c r="Y110" s="461"/>
      <c r="Z110" s="461"/>
      <c r="AA110" s="461"/>
      <c r="AB110" s="461"/>
      <c r="AC110" s="461"/>
      <c r="AD110" s="462"/>
    </row>
    <row r="111" spans="1:30" x14ac:dyDescent="0.2">
      <c r="A111" s="485"/>
      <c r="B111" s="461"/>
      <c r="C111" s="462"/>
      <c r="D111" s="462"/>
      <c r="E111" s="462"/>
      <c r="F111" s="462"/>
      <c r="G111" s="462"/>
      <c r="H111" s="462"/>
      <c r="I111" s="462"/>
      <c r="J111" s="462"/>
      <c r="K111" s="461"/>
      <c r="L111" s="462"/>
      <c r="M111" s="462"/>
      <c r="N111" s="462"/>
      <c r="O111" s="462"/>
      <c r="P111" s="462"/>
      <c r="Q111" s="461"/>
      <c r="R111" s="462"/>
      <c r="S111" s="461"/>
      <c r="T111" s="462"/>
      <c r="U111" s="461"/>
      <c r="V111" s="462"/>
      <c r="W111" s="461"/>
      <c r="X111" s="462"/>
      <c r="Y111" s="461"/>
      <c r="Z111" s="461"/>
      <c r="AA111" s="461"/>
      <c r="AB111" s="461"/>
      <c r="AC111" s="461"/>
      <c r="AD111" s="462"/>
    </row>
    <row r="112" spans="1:30" x14ac:dyDescent="0.2">
      <c r="A112" s="485"/>
      <c r="B112" s="461"/>
      <c r="C112" s="462"/>
      <c r="D112" s="462"/>
      <c r="E112" s="462"/>
      <c r="F112" s="462"/>
      <c r="G112" s="462"/>
      <c r="H112" s="462"/>
      <c r="I112" s="462"/>
      <c r="J112" s="462"/>
      <c r="K112" s="461"/>
      <c r="L112" s="462"/>
      <c r="M112" s="462"/>
      <c r="N112" s="462"/>
      <c r="O112" s="462"/>
      <c r="P112" s="462"/>
      <c r="Q112" s="461"/>
      <c r="R112" s="462"/>
      <c r="S112" s="461"/>
      <c r="T112" s="462"/>
      <c r="U112" s="461"/>
      <c r="V112" s="462"/>
      <c r="W112" s="461"/>
      <c r="X112" s="462"/>
      <c r="Y112" s="461"/>
      <c r="Z112" s="461"/>
      <c r="AA112" s="461"/>
      <c r="AB112" s="461"/>
      <c r="AC112" s="461"/>
      <c r="AD112" s="462"/>
    </row>
    <row r="113" spans="1:30" x14ac:dyDescent="0.2">
      <c r="A113" s="485"/>
      <c r="B113" s="461"/>
      <c r="C113" s="462"/>
      <c r="D113" s="462"/>
      <c r="E113" s="462"/>
      <c r="F113" s="462"/>
      <c r="G113" s="462"/>
      <c r="H113" s="462"/>
      <c r="I113" s="462"/>
      <c r="J113" s="462"/>
      <c r="K113" s="461"/>
      <c r="L113" s="462"/>
      <c r="M113" s="462"/>
      <c r="N113" s="462"/>
      <c r="O113" s="462"/>
      <c r="P113" s="462"/>
      <c r="Q113" s="461"/>
      <c r="R113" s="462"/>
      <c r="S113" s="461"/>
      <c r="T113" s="462"/>
      <c r="U113" s="461"/>
      <c r="V113" s="462"/>
      <c r="W113" s="461"/>
      <c r="X113" s="462"/>
      <c r="Y113" s="461"/>
      <c r="Z113" s="461"/>
      <c r="AA113" s="461"/>
      <c r="AB113" s="461"/>
      <c r="AC113" s="461"/>
      <c r="AD113" s="462"/>
    </row>
    <row r="114" spans="1:30" x14ac:dyDescent="0.2">
      <c r="A114" s="485"/>
      <c r="B114" s="461"/>
      <c r="C114" s="462"/>
      <c r="D114" s="462"/>
      <c r="E114" s="462"/>
      <c r="F114" s="462"/>
      <c r="G114" s="462"/>
      <c r="H114" s="462"/>
      <c r="I114" s="462"/>
      <c r="J114" s="462"/>
      <c r="K114" s="461"/>
      <c r="L114" s="462"/>
      <c r="M114" s="462"/>
      <c r="N114" s="462"/>
      <c r="O114" s="462"/>
      <c r="P114" s="462"/>
      <c r="Q114" s="461"/>
      <c r="R114" s="462"/>
      <c r="S114" s="461"/>
      <c r="T114" s="462"/>
      <c r="U114" s="461"/>
      <c r="V114" s="462"/>
      <c r="W114" s="461"/>
      <c r="X114" s="462"/>
      <c r="Y114" s="461"/>
      <c r="Z114" s="461"/>
      <c r="AA114" s="461"/>
      <c r="AB114" s="461"/>
      <c r="AC114" s="461"/>
      <c r="AD114" s="462"/>
    </row>
    <row r="115" spans="1:30" x14ac:dyDescent="0.2">
      <c r="A115" s="485"/>
      <c r="B115" s="461"/>
      <c r="C115" s="462"/>
      <c r="D115" s="462"/>
      <c r="E115" s="462"/>
      <c r="F115" s="462"/>
      <c r="G115" s="462"/>
      <c r="H115" s="462"/>
      <c r="I115" s="462"/>
      <c r="J115" s="462"/>
      <c r="K115" s="461"/>
      <c r="L115" s="462"/>
      <c r="M115" s="462"/>
      <c r="N115" s="462"/>
      <c r="O115" s="462"/>
      <c r="P115" s="462"/>
      <c r="Q115" s="461"/>
      <c r="R115" s="462"/>
      <c r="S115" s="461"/>
      <c r="T115" s="462"/>
      <c r="U115" s="461"/>
      <c r="V115" s="462"/>
      <c r="W115" s="461"/>
      <c r="X115" s="462"/>
      <c r="Y115" s="461"/>
      <c r="Z115" s="461"/>
      <c r="AA115" s="461"/>
      <c r="AB115" s="461"/>
      <c r="AC115" s="461"/>
      <c r="AD115" s="462"/>
    </row>
    <row r="116" spans="1:30" x14ac:dyDescent="0.2">
      <c r="A116" s="485"/>
      <c r="B116" s="461"/>
      <c r="C116" s="462"/>
      <c r="D116" s="462"/>
      <c r="E116" s="462"/>
      <c r="F116" s="462"/>
      <c r="G116" s="462"/>
      <c r="H116" s="462"/>
      <c r="I116" s="462"/>
      <c r="J116" s="462"/>
      <c r="K116" s="461"/>
      <c r="L116" s="462"/>
      <c r="M116" s="462"/>
      <c r="N116" s="462"/>
      <c r="O116" s="462"/>
      <c r="P116" s="462"/>
      <c r="Q116" s="461"/>
      <c r="R116" s="462"/>
      <c r="S116" s="461"/>
      <c r="T116" s="462"/>
      <c r="U116" s="461"/>
      <c r="V116" s="462"/>
      <c r="W116" s="461"/>
      <c r="X116" s="462"/>
      <c r="Y116" s="461"/>
      <c r="Z116" s="461"/>
      <c r="AA116" s="461"/>
      <c r="AB116" s="461"/>
      <c r="AC116" s="461"/>
      <c r="AD116" s="462"/>
    </row>
    <row r="117" spans="1:30" x14ac:dyDescent="0.2">
      <c r="A117" s="485"/>
      <c r="B117" s="461"/>
      <c r="C117" s="462"/>
      <c r="D117" s="462"/>
      <c r="E117" s="462"/>
      <c r="F117" s="462"/>
      <c r="G117" s="462"/>
      <c r="H117" s="462"/>
      <c r="I117" s="462"/>
      <c r="J117" s="462"/>
      <c r="K117" s="461"/>
      <c r="L117" s="462"/>
      <c r="M117" s="462"/>
      <c r="N117" s="462"/>
      <c r="O117" s="462"/>
      <c r="P117" s="462"/>
      <c r="Q117" s="461"/>
      <c r="R117" s="462"/>
      <c r="S117" s="461"/>
      <c r="T117" s="462"/>
      <c r="U117" s="461"/>
      <c r="V117" s="462"/>
      <c r="W117" s="461"/>
      <c r="X117" s="462"/>
      <c r="Y117" s="461"/>
      <c r="Z117" s="461"/>
      <c r="AA117" s="461"/>
      <c r="AB117" s="461"/>
      <c r="AC117" s="461"/>
      <c r="AD117" s="462"/>
    </row>
    <row r="118" spans="1:30" x14ac:dyDescent="0.2">
      <c r="A118" s="485"/>
      <c r="B118" s="461"/>
      <c r="C118" s="462"/>
      <c r="D118" s="462"/>
      <c r="E118" s="462"/>
      <c r="F118" s="462"/>
      <c r="G118" s="462"/>
      <c r="H118" s="462"/>
      <c r="I118" s="462"/>
      <c r="J118" s="462"/>
      <c r="K118" s="461"/>
      <c r="L118" s="462"/>
      <c r="M118" s="462"/>
      <c r="N118" s="462"/>
      <c r="O118" s="462"/>
      <c r="P118" s="462"/>
      <c r="Q118" s="461"/>
      <c r="R118" s="462"/>
      <c r="S118" s="461"/>
      <c r="T118" s="462"/>
      <c r="U118" s="461"/>
      <c r="V118" s="462"/>
      <c r="W118" s="461"/>
      <c r="X118" s="462"/>
      <c r="Y118" s="461"/>
      <c r="Z118" s="461"/>
      <c r="AA118" s="461"/>
      <c r="AB118" s="461"/>
      <c r="AC118" s="461"/>
      <c r="AD118" s="462"/>
    </row>
    <row r="119" spans="1:30" x14ac:dyDescent="0.2">
      <c r="A119" s="485"/>
      <c r="B119" s="461"/>
      <c r="C119" s="462"/>
      <c r="D119" s="462"/>
      <c r="E119" s="462"/>
      <c r="F119" s="462"/>
      <c r="G119" s="462"/>
      <c r="H119" s="462"/>
      <c r="I119" s="462"/>
      <c r="J119" s="462"/>
      <c r="K119" s="461"/>
      <c r="L119" s="462"/>
      <c r="M119" s="462"/>
      <c r="N119" s="462"/>
      <c r="O119" s="462"/>
      <c r="P119" s="462"/>
      <c r="Q119" s="461"/>
      <c r="R119" s="462"/>
      <c r="S119" s="461"/>
      <c r="T119" s="462"/>
      <c r="U119" s="461"/>
      <c r="V119" s="462"/>
      <c r="W119" s="461"/>
      <c r="X119" s="462"/>
      <c r="Y119" s="461"/>
      <c r="Z119" s="461"/>
      <c r="AA119" s="461"/>
      <c r="AB119" s="461"/>
      <c r="AC119" s="461"/>
      <c r="AD119" s="462"/>
    </row>
    <row r="120" spans="1:30" x14ac:dyDescent="0.2">
      <c r="A120" s="485"/>
      <c r="B120" s="461"/>
      <c r="C120" s="462"/>
      <c r="D120" s="462"/>
      <c r="E120" s="462"/>
      <c r="F120" s="462"/>
      <c r="G120" s="462"/>
      <c r="H120" s="462"/>
      <c r="I120" s="462"/>
      <c r="J120" s="462"/>
      <c r="K120" s="461"/>
      <c r="L120" s="462"/>
      <c r="M120" s="462"/>
      <c r="N120" s="462"/>
      <c r="O120" s="462"/>
      <c r="P120" s="462"/>
      <c r="Q120" s="461"/>
      <c r="R120" s="462"/>
      <c r="S120" s="461"/>
      <c r="T120" s="462"/>
      <c r="U120" s="461"/>
      <c r="V120" s="462"/>
      <c r="W120" s="461"/>
      <c r="X120" s="462"/>
      <c r="Y120" s="461"/>
      <c r="Z120" s="461"/>
      <c r="AA120" s="461"/>
      <c r="AB120" s="461"/>
      <c r="AC120" s="461"/>
      <c r="AD120" s="462"/>
    </row>
    <row r="121" spans="1:30" x14ac:dyDescent="0.2">
      <c r="A121" s="485"/>
      <c r="B121" s="461"/>
      <c r="C121" s="462"/>
      <c r="D121" s="462"/>
      <c r="E121" s="462"/>
      <c r="F121" s="462"/>
      <c r="G121" s="462"/>
      <c r="H121" s="462"/>
      <c r="I121" s="462"/>
      <c r="J121" s="462"/>
      <c r="K121" s="461"/>
      <c r="L121" s="462"/>
      <c r="M121" s="462"/>
      <c r="N121" s="462"/>
      <c r="O121" s="462"/>
      <c r="P121" s="462"/>
      <c r="Q121" s="461"/>
      <c r="R121" s="462"/>
      <c r="S121" s="461"/>
      <c r="T121" s="462"/>
      <c r="U121" s="461"/>
      <c r="V121" s="462"/>
      <c r="W121" s="461"/>
      <c r="X121" s="462"/>
      <c r="Y121" s="461"/>
      <c r="Z121" s="461"/>
      <c r="AA121" s="461"/>
      <c r="AB121" s="461"/>
      <c r="AC121" s="461"/>
      <c r="AD121" s="462"/>
    </row>
    <row r="122" spans="1:30" x14ac:dyDescent="0.2">
      <c r="A122" s="485"/>
      <c r="B122" s="461"/>
      <c r="C122" s="462"/>
      <c r="D122" s="462"/>
      <c r="E122" s="462"/>
      <c r="F122" s="462"/>
      <c r="G122" s="462"/>
      <c r="H122" s="462"/>
      <c r="I122" s="462"/>
      <c r="J122" s="462"/>
      <c r="K122" s="461"/>
      <c r="L122" s="462"/>
      <c r="M122" s="462"/>
      <c r="N122" s="462"/>
      <c r="O122" s="462"/>
      <c r="P122" s="462"/>
      <c r="Q122" s="461"/>
      <c r="R122" s="462"/>
      <c r="S122" s="461"/>
      <c r="T122" s="462"/>
      <c r="U122" s="461"/>
      <c r="V122" s="462"/>
      <c r="W122" s="461"/>
      <c r="X122" s="462"/>
      <c r="Y122" s="461"/>
      <c r="Z122" s="461"/>
      <c r="AA122" s="461"/>
      <c r="AB122" s="461"/>
      <c r="AC122" s="461"/>
      <c r="AD122" s="462"/>
    </row>
    <row r="123" spans="1:30" x14ac:dyDescent="0.2">
      <c r="A123" s="485"/>
      <c r="B123" s="461"/>
      <c r="C123" s="462"/>
      <c r="D123" s="462"/>
      <c r="E123" s="462"/>
      <c r="F123" s="462"/>
      <c r="G123" s="462"/>
      <c r="H123" s="462"/>
      <c r="I123" s="462"/>
      <c r="J123" s="462"/>
      <c r="K123" s="461"/>
      <c r="L123" s="462"/>
      <c r="M123" s="462"/>
      <c r="N123" s="462"/>
      <c r="O123" s="462"/>
      <c r="P123" s="462"/>
      <c r="Q123" s="461"/>
      <c r="R123" s="462"/>
      <c r="S123" s="461"/>
      <c r="T123" s="462"/>
      <c r="U123" s="461"/>
      <c r="V123" s="462"/>
      <c r="W123" s="461"/>
      <c r="X123" s="462"/>
      <c r="Y123" s="461"/>
      <c r="Z123" s="461"/>
      <c r="AA123" s="461"/>
      <c r="AB123" s="461"/>
      <c r="AC123" s="461"/>
      <c r="AD123" s="462"/>
    </row>
    <row r="124" spans="1:30" x14ac:dyDescent="0.2">
      <c r="A124" s="485"/>
      <c r="B124" s="461"/>
      <c r="C124" s="462"/>
      <c r="D124" s="462"/>
      <c r="E124" s="462"/>
      <c r="F124" s="462"/>
      <c r="G124" s="462"/>
      <c r="H124" s="462"/>
      <c r="I124" s="462"/>
      <c r="J124" s="462"/>
      <c r="K124" s="461"/>
      <c r="L124" s="462"/>
      <c r="M124" s="462"/>
      <c r="N124" s="462"/>
      <c r="O124" s="462"/>
      <c r="P124" s="462"/>
      <c r="Q124" s="461"/>
      <c r="R124" s="462"/>
      <c r="S124" s="461"/>
      <c r="T124" s="462"/>
      <c r="U124" s="461"/>
      <c r="V124" s="462"/>
      <c r="W124" s="461"/>
      <c r="X124" s="462"/>
      <c r="Y124" s="461"/>
      <c r="Z124" s="461"/>
      <c r="AA124" s="461"/>
      <c r="AB124" s="461"/>
      <c r="AC124" s="461"/>
      <c r="AD124" s="462"/>
    </row>
    <row r="125" spans="1:30" x14ac:dyDescent="0.2">
      <c r="A125" s="485"/>
      <c r="B125" s="461"/>
      <c r="C125" s="462"/>
      <c r="D125" s="462"/>
      <c r="E125" s="462"/>
      <c r="F125" s="462"/>
      <c r="G125" s="462"/>
      <c r="H125" s="462"/>
      <c r="I125" s="462"/>
      <c r="J125" s="462"/>
      <c r="K125" s="461"/>
      <c r="L125" s="462"/>
      <c r="M125" s="462"/>
      <c r="N125" s="462"/>
      <c r="O125" s="462"/>
      <c r="P125" s="462"/>
      <c r="Q125" s="461"/>
      <c r="R125" s="462"/>
      <c r="S125" s="461"/>
      <c r="T125" s="462"/>
      <c r="U125" s="461"/>
      <c r="V125" s="462"/>
      <c r="W125" s="461"/>
      <c r="X125" s="462"/>
      <c r="Y125" s="461"/>
      <c r="Z125" s="461"/>
      <c r="AA125" s="461"/>
      <c r="AB125" s="461"/>
      <c r="AC125" s="461"/>
      <c r="AD125" s="462"/>
    </row>
    <row r="126" spans="1:30" x14ac:dyDescent="0.2">
      <c r="A126" s="485"/>
      <c r="B126" s="461"/>
      <c r="C126" s="462"/>
      <c r="D126" s="462"/>
      <c r="E126" s="462"/>
      <c r="F126" s="462"/>
      <c r="G126" s="462"/>
      <c r="H126" s="462"/>
      <c r="I126" s="462"/>
      <c r="J126" s="462"/>
      <c r="K126" s="461"/>
      <c r="L126" s="462"/>
      <c r="M126" s="462"/>
      <c r="N126" s="462"/>
      <c r="O126" s="462"/>
      <c r="P126" s="462"/>
      <c r="Q126" s="461"/>
      <c r="R126" s="462"/>
      <c r="S126" s="461"/>
      <c r="T126" s="462"/>
      <c r="U126" s="461"/>
      <c r="V126" s="462"/>
      <c r="W126" s="461"/>
      <c r="X126" s="462"/>
      <c r="Y126" s="461"/>
      <c r="Z126" s="461"/>
      <c r="AA126" s="461"/>
      <c r="AB126" s="461"/>
      <c r="AC126" s="461"/>
      <c r="AD126" s="462"/>
    </row>
    <row r="127" spans="1:30" x14ac:dyDescent="0.2">
      <c r="A127" s="485"/>
      <c r="B127" s="461"/>
      <c r="C127" s="462"/>
      <c r="D127" s="462"/>
      <c r="E127" s="462"/>
      <c r="F127" s="462"/>
      <c r="G127" s="462"/>
      <c r="H127" s="462"/>
      <c r="I127" s="462"/>
      <c r="J127" s="462"/>
      <c r="K127" s="461"/>
      <c r="L127" s="462"/>
      <c r="M127" s="462"/>
      <c r="N127" s="462"/>
      <c r="O127" s="462"/>
      <c r="P127" s="462"/>
      <c r="Q127" s="461"/>
      <c r="R127" s="462"/>
      <c r="S127" s="461"/>
      <c r="T127" s="462"/>
      <c r="U127" s="461"/>
      <c r="V127" s="462"/>
      <c r="W127" s="461"/>
      <c r="X127" s="462"/>
      <c r="Y127" s="461"/>
      <c r="Z127" s="461"/>
      <c r="AA127" s="461"/>
      <c r="AB127" s="461"/>
      <c r="AC127" s="461"/>
      <c r="AD127" s="462"/>
    </row>
    <row r="128" spans="1:30" x14ac:dyDescent="0.2">
      <c r="A128" s="485"/>
      <c r="B128" s="461"/>
      <c r="C128" s="462"/>
      <c r="D128" s="462"/>
      <c r="E128" s="462"/>
      <c r="F128" s="462"/>
      <c r="G128" s="462"/>
      <c r="H128" s="462"/>
      <c r="I128" s="462"/>
      <c r="J128" s="462"/>
      <c r="K128" s="461"/>
      <c r="L128" s="462"/>
      <c r="M128" s="462"/>
      <c r="N128" s="462"/>
      <c r="O128" s="462"/>
      <c r="P128" s="462"/>
      <c r="Q128" s="461"/>
      <c r="R128" s="462"/>
      <c r="S128" s="461"/>
      <c r="T128" s="462"/>
      <c r="U128" s="461"/>
      <c r="V128" s="462"/>
      <c r="W128" s="461"/>
      <c r="X128" s="462"/>
      <c r="Y128" s="461"/>
      <c r="Z128" s="461"/>
      <c r="AA128" s="461"/>
      <c r="AB128" s="461"/>
      <c r="AC128" s="461"/>
      <c r="AD128" s="462"/>
    </row>
    <row r="129" spans="1:30" x14ac:dyDescent="0.2">
      <c r="A129" s="485"/>
      <c r="B129" s="461"/>
      <c r="C129" s="462"/>
      <c r="D129" s="462"/>
      <c r="E129" s="462"/>
      <c r="F129" s="462"/>
      <c r="G129" s="462"/>
      <c r="H129" s="462"/>
      <c r="I129" s="462"/>
      <c r="J129" s="462"/>
      <c r="K129" s="461"/>
      <c r="L129" s="462"/>
      <c r="M129" s="462"/>
      <c r="N129" s="462"/>
      <c r="O129" s="462"/>
      <c r="P129" s="462"/>
      <c r="Q129" s="461"/>
      <c r="R129" s="462"/>
      <c r="S129" s="461"/>
      <c r="T129" s="462"/>
      <c r="U129" s="461"/>
      <c r="V129" s="462"/>
      <c r="W129" s="461"/>
      <c r="X129" s="462"/>
      <c r="Y129" s="461"/>
      <c r="Z129" s="461"/>
      <c r="AA129" s="461"/>
      <c r="AB129" s="461"/>
      <c r="AC129" s="461"/>
      <c r="AD129" s="462"/>
    </row>
    <row r="130" spans="1:30" x14ac:dyDescent="0.2">
      <c r="A130" s="485"/>
      <c r="B130" s="461"/>
      <c r="C130" s="462"/>
      <c r="D130" s="462"/>
      <c r="E130" s="462"/>
      <c r="F130" s="462"/>
      <c r="G130" s="462"/>
      <c r="H130" s="462"/>
      <c r="I130" s="462"/>
      <c r="J130" s="462"/>
      <c r="K130" s="461"/>
      <c r="L130" s="462"/>
      <c r="M130" s="462"/>
      <c r="N130" s="462"/>
      <c r="O130" s="462"/>
      <c r="P130" s="462"/>
      <c r="Q130" s="461"/>
      <c r="R130" s="462"/>
      <c r="S130" s="461"/>
      <c r="T130" s="462"/>
      <c r="U130" s="461"/>
      <c r="V130" s="462"/>
      <c r="W130" s="461"/>
      <c r="X130" s="462"/>
      <c r="Y130" s="461"/>
      <c r="Z130" s="461"/>
      <c r="AA130" s="461"/>
      <c r="AB130" s="461"/>
      <c r="AC130" s="461"/>
      <c r="AD130" s="462"/>
    </row>
    <row r="131" spans="1:30" x14ac:dyDescent="0.2">
      <c r="A131" s="485"/>
      <c r="B131" s="461"/>
      <c r="C131" s="462"/>
      <c r="D131" s="462"/>
      <c r="E131" s="462"/>
      <c r="F131" s="462"/>
      <c r="G131" s="462"/>
      <c r="H131" s="462"/>
      <c r="I131" s="462"/>
      <c r="J131" s="462"/>
      <c r="K131" s="461"/>
      <c r="L131" s="462"/>
      <c r="M131" s="462"/>
      <c r="N131" s="462"/>
      <c r="O131" s="462"/>
      <c r="P131" s="462"/>
      <c r="Q131" s="461"/>
      <c r="R131" s="462"/>
      <c r="S131" s="461"/>
      <c r="T131" s="462"/>
      <c r="U131" s="461"/>
      <c r="V131" s="462"/>
      <c r="W131" s="461"/>
      <c r="X131" s="462"/>
      <c r="Y131" s="461"/>
      <c r="Z131" s="461"/>
      <c r="AA131" s="461"/>
      <c r="AB131" s="461"/>
      <c r="AC131" s="461"/>
      <c r="AD131" s="462"/>
    </row>
    <row r="132" spans="1:30" x14ac:dyDescent="0.2">
      <c r="A132" s="485"/>
      <c r="B132" s="461"/>
      <c r="C132" s="462"/>
      <c r="D132" s="462"/>
      <c r="E132" s="462"/>
      <c r="F132" s="462"/>
      <c r="G132" s="462"/>
      <c r="H132" s="462"/>
      <c r="I132" s="462"/>
      <c r="J132" s="462"/>
      <c r="K132" s="461"/>
      <c r="L132" s="462"/>
      <c r="M132" s="462"/>
      <c r="N132" s="462"/>
      <c r="O132" s="462"/>
      <c r="P132" s="462"/>
      <c r="Q132" s="461"/>
      <c r="R132" s="462"/>
      <c r="S132" s="461"/>
      <c r="T132" s="462"/>
      <c r="U132" s="461"/>
      <c r="V132" s="462"/>
      <c r="W132" s="461"/>
      <c r="X132" s="462"/>
      <c r="Y132" s="461"/>
      <c r="Z132" s="461"/>
      <c r="AA132" s="461"/>
      <c r="AB132" s="461"/>
      <c r="AC132" s="461"/>
      <c r="AD132" s="462"/>
    </row>
    <row r="133" spans="1:30" x14ac:dyDescent="0.2">
      <c r="A133" s="485"/>
      <c r="B133" s="461"/>
      <c r="C133" s="462"/>
      <c r="D133" s="462"/>
      <c r="E133" s="462"/>
      <c r="F133" s="462"/>
      <c r="G133" s="462"/>
      <c r="H133" s="462"/>
      <c r="I133" s="462"/>
      <c r="J133" s="462"/>
      <c r="K133" s="461"/>
      <c r="L133" s="462"/>
      <c r="M133" s="462"/>
      <c r="N133" s="462"/>
      <c r="O133" s="462"/>
      <c r="P133" s="462"/>
      <c r="Q133" s="461"/>
      <c r="R133" s="462"/>
      <c r="S133" s="461"/>
      <c r="T133" s="462"/>
      <c r="U133" s="461"/>
      <c r="V133" s="462"/>
      <c r="W133" s="461"/>
      <c r="X133" s="462"/>
      <c r="Y133" s="461"/>
      <c r="Z133" s="461"/>
      <c r="AA133" s="461"/>
      <c r="AB133" s="461"/>
      <c r="AC133" s="461"/>
      <c r="AD133" s="462"/>
    </row>
    <row r="134" spans="1:30" x14ac:dyDescent="0.2">
      <c r="A134" s="485"/>
      <c r="B134" s="461"/>
      <c r="C134" s="462"/>
      <c r="D134" s="462"/>
      <c r="E134" s="462"/>
      <c r="F134" s="462"/>
      <c r="G134" s="462"/>
      <c r="H134" s="462"/>
      <c r="I134" s="462"/>
      <c r="J134" s="462"/>
      <c r="K134" s="461"/>
      <c r="L134" s="462"/>
      <c r="M134" s="462"/>
      <c r="N134" s="462"/>
      <c r="O134" s="462"/>
      <c r="P134" s="462"/>
      <c r="Q134" s="461"/>
      <c r="R134" s="462"/>
      <c r="S134" s="461"/>
      <c r="T134" s="462"/>
      <c r="U134" s="461"/>
      <c r="V134" s="462"/>
      <c r="W134" s="461"/>
      <c r="X134" s="462"/>
      <c r="Y134" s="461"/>
      <c r="Z134" s="461"/>
      <c r="AA134" s="461"/>
      <c r="AB134" s="461"/>
      <c r="AC134" s="461"/>
      <c r="AD134" s="462"/>
    </row>
    <row r="135" spans="1:30" x14ac:dyDescent="0.2">
      <c r="A135" s="485"/>
      <c r="B135" s="461"/>
      <c r="C135" s="462"/>
      <c r="D135" s="462"/>
      <c r="E135" s="462"/>
      <c r="F135" s="462"/>
      <c r="G135" s="462"/>
      <c r="H135" s="462"/>
      <c r="I135" s="462"/>
      <c r="J135" s="462"/>
      <c r="K135" s="461"/>
      <c r="L135" s="462"/>
      <c r="M135" s="462"/>
      <c r="N135" s="462"/>
      <c r="O135" s="462"/>
      <c r="P135" s="462"/>
      <c r="Q135" s="461"/>
      <c r="R135" s="462"/>
      <c r="S135" s="461"/>
      <c r="T135" s="462"/>
      <c r="U135" s="461"/>
      <c r="V135" s="462"/>
      <c r="W135" s="461"/>
      <c r="X135" s="462"/>
      <c r="Y135" s="461"/>
      <c r="Z135" s="461"/>
      <c r="AA135" s="461"/>
      <c r="AB135" s="461"/>
      <c r="AC135" s="461"/>
      <c r="AD135" s="462"/>
    </row>
    <row r="136" spans="1:30" x14ac:dyDescent="0.2">
      <c r="A136" s="485"/>
      <c r="B136" s="461"/>
      <c r="C136" s="462"/>
      <c r="D136" s="462"/>
      <c r="E136" s="462"/>
      <c r="F136" s="462"/>
      <c r="G136" s="462"/>
      <c r="H136" s="462"/>
      <c r="I136" s="462"/>
      <c r="J136" s="462"/>
      <c r="K136" s="461"/>
      <c r="L136" s="462"/>
      <c r="M136" s="462"/>
      <c r="N136" s="462"/>
      <c r="O136" s="462"/>
      <c r="P136" s="462"/>
      <c r="Q136" s="461"/>
      <c r="R136" s="462"/>
      <c r="S136" s="461"/>
      <c r="T136" s="462"/>
      <c r="U136" s="461"/>
      <c r="V136" s="462"/>
      <c r="W136" s="461"/>
      <c r="X136" s="462"/>
      <c r="Y136" s="461"/>
      <c r="Z136" s="461"/>
      <c r="AA136" s="461"/>
      <c r="AB136" s="461"/>
      <c r="AC136" s="461"/>
      <c r="AD136" s="462"/>
    </row>
    <row r="137" spans="1:30" x14ac:dyDescent="0.2">
      <c r="A137" s="485"/>
      <c r="B137" s="461"/>
      <c r="C137" s="462"/>
      <c r="D137" s="462"/>
      <c r="E137" s="462"/>
      <c r="F137" s="462"/>
      <c r="G137" s="462"/>
      <c r="H137" s="462"/>
      <c r="I137" s="462"/>
      <c r="J137" s="462"/>
      <c r="K137" s="461"/>
      <c r="L137" s="462"/>
      <c r="M137" s="462"/>
      <c r="N137" s="462"/>
      <c r="O137" s="462"/>
      <c r="P137" s="462"/>
      <c r="Q137" s="461"/>
      <c r="R137" s="462"/>
      <c r="S137" s="461"/>
      <c r="T137" s="462"/>
      <c r="U137" s="461"/>
      <c r="V137" s="462"/>
      <c r="W137" s="461"/>
      <c r="X137" s="462"/>
      <c r="Y137" s="461"/>
      <c r="Z137" s="461"/>
      <c r="AA137" s="461"/>
      <c r="AB137" s="461"/>
      <c r="AC137" s="461"/>
      <c r="AD137" s="462"/>
    </row>
    <row r="138" spans="1:30" x14ac:dyDescent="0.2">
      <c r="A138" s="485"/>
      <c r="B138" s="461"/>
      <c r="C138" s="462"/>
      <c r="D138" s="462"/>
      <c r="E138" s="462"/>
      <c r="F138" s="462"/>
      <c r="G138" s="462"/>
      <c r="H138" s="462"/>
      <c r="I138" s="462"/>
      <c r="J138" s="462"/>
      <c r="K138" s="461"/>
      <c r="L138" s="462"/>
      <c r="M138" s="462"/>
      <c r="N138" s="462"/>
      <c r="O138" s="462"/>
      <c r="P138" s="462"/>
      <c r="Q138" s="461"/>
      <c r="R138" s="462"/>
      <c r="S138" s="461"/>
      <c r="T138" s="462"/>
      <c r="U138" s="461"/>
      <c r="V138" s="462"/>
      <c r="W138" s="461"/>
      <c r="X138" s="462"/>
      <c r="Y138" s="461"/>
      <c r="Z138" s="461"/>
      <c r="AA138" s="461"/>
      <c r="AB138" s="461"/>
      <c r="AC138" s="461"/>
      <c r="AD138" s="462"/>
    </row>
    <row r="139" spans="1:30" x14ac:dyDescent="0.2">
      <c r="A139" s="485"/>
      <c r="B139" s="461"/>
      <c r="C139" s="462"/>
      <c r="D139" s="462"/>
      <c r="E139" s="462"/>
      <c r="F139" s="462"/>
      <c r="G139" s="462"/>
      <c r="H139" s="462"/>
      <c r="I139" s="462"/>
      <c r="J139" s="462"/>
      <c r="K139" s="461"/>
      <c r="L139" s="462"/>
      <c r="M139" s="462"/>
      <c r="N139" s="462"/>
      <c r="O139" s="462"/>
      <c r="P139" s="462"/>
      <c r="Q139" s="461"/>
      <c r="R139" s="462"/>
      <c r="S139" s="461"/>
      <c r="T139" s="462"/>
      <c r="U139" s="461"/>
      <c r="V139" s="462"/>
      <c r="W139" s="461"/>
      <c r="X139" s="462"/>
      <c r="Y139" s="461"/>
      <c r="Z139" s="461"/>
      <c r="AA139" s="461"/>
      <c r="AB139" s="461"/>
      <c r="AC139" s="461"/>
      <c r="AD139" s="462"/>
    </row>
    <row r="140" spans="1:30" x14ac:dyDescent="0.2">
      <c r="A140" s="485"/>
      <c r="B140" s="461"/>
      <c r="C140" s="462"/>
      <c r="D140" s="462"/>
      <c r="E140" s="462"/>
      <c r="F140" s="462"/>
      <c r="G140" s="462"/>
      <c r="H140" s="462"/>
      <c r="I140" s="462"/>
      <c r="J140" s="462"/>
      <c r="K140" s="461"/>
      <c r="L140" s="462"/>
      <c r="M140" s="462"/>
      <c r="N140" s="462"/>
      <c r="O140" s="462"/>
      <c r="P140" s="462"/>
      <c r="Q140" s="461"/>
      <c r="R140" s="462"/>
      <c r="S140" s="461"/>
      <c r="T140" s="462"/>
      <c r="U140" s="461"/>
      <c r="V140" s="462"/>
      <c r="W140" s="461"/>
      <c r="X140" s="462"/>
      <c r="Y140" s="461"/>
      <c r="Z140" s="461"/>
      <c r="AA140" s="461"/>
      <c r="AB140" s="461"/>
      <c r="AC140" s="461"/>
      <c r="AD140" s="462"/>
    </row>
    <row r="141" spans="1:30" x14ac:dyDescent="0.2">
      <c r="A141" s="485"/>
      <c r="B141" s="461"/>
      <c r="C141" s="462"/>
      <c r="D141" s="462"/>
      <c r="E141" s="462"/>
      <c r="F141" s="462"/>
      <c r="G141" s="462"/>
      <c r="H141" s="462"/>
      <c r="I141" s="462"/>
      <c r="J141" s="462"/>
      <c r="K141" s="461"/>
      <c r="L141" s="462"/>
      <c r="M141" s="462"/>
      <c r="N141" s="462"/>
      <c r="O141" s="462"/>
      <c r="P141" s="462"/>
      <c r="Q141" s="461"/>
      <c r="R141" s="462"/>
      <c r="S141" s="461"/>
      <c r="T141" s="462"/>
      <c r="U141" s="461"/>
      <c r="V141" s="462"/>
      <c r="W141" s="461"/>
      <c r="X141" s="462"/>
      <c r="Y141" s="461"/>
      <c r="Z141" s="461"/>
      <c r="AA141" s="461"/>
      <c r="AB141" s="461"/>
      <c r="AC141" s="461"/>
      <c r="AD141" s="462"/>
    </row>
    <row r="142" spans="1:30" x14ac:dyDescent="0.2">
      <c r="A142" s="485"/>
      <c r="B142" s="461"/>
      <c r="C142" s="462"/>
      <c r="D142" s="462"/>
      <c r="E142" s="462"/>
      <c r="F142" s="462"/>
      <c r="G142" s="462"/>
      <c r="H142" s="462"/>
      <c r="I142" s="462"/>
      <c r="J142" s="462"/>
      <c r="K142" s="461"/>
      <c r="L142" s="462"/>
      <c r="M142" s="462"/>
      <c r="N142" s="462"/>
      <c r="O142" s="462"/>
      <c r="P142" s="462"/>
      <c r="Q142" s="461"/>
      <c r="R142" s="462"/>
      <c r="S142" s="461"/>
      <c r="T142" s="462"/>
      <c r="U142" s="461"/>
      <c r="V142" s="462"/>
      <c r="W142" s="461"/>
      <c r="X142" s="462"/>
      <c r="Y142" s="461"/>
      <c r="Z142" s="461"/>
      <c r="AA142" s="461"/>
      <c r="AB142" s="461"/>
      <c r="AC142" s="461"/>
      <c r="AD142" s="462"/>
    </row>
    <row r="143" spans="1:30" x14ac:dyDescent="0.2">
      <c r="A143" s="485"/>
      <c r="B143" s="461"/>
      <c r="C143" s="462"/>
      <c r="D143" s="462"/>
      <c r="E143" s="462"/>
      <c r="F143" s="462"/>
      <c r="G143" s="462"/>
      <c r="H143" s="462"/>
      <c r="I143" s="462"/>
      <c r="J143" s="462"/>
      <c r="K143" s="461"/>
      <c r="L143" s="462"/>
      <c r="M143" s="462"/>
      <c r="N143" s="462"/>
      <c r="O143" s="462"/>
      <c r="P143" s="462"/>
      <c r="Q143" s="461"/>
      <c r="R143" s="462"/>
      <c r="S143" s="461"/>
      <c r="T143" s="462"/>
      <c r="U143" s="461"/>
      <c r="V143" s="462"/>
      <c r="W143" s="461"/>
      <c r="X143" s="462"/>
      <c r="Y143" s="461"/>
      <c r="Z143" s="461"/>
      <c r="AA143" s="461"/>
      <c r="AB143" s="461"/>
      <c r="AC143" s="461"/>
      <c r="AD143" s="462"/>
    </row>
    <row r="144" spans="1:30" x14ac:dyDescent="0.2">
      <c r="A144" s="485"/>
      <c r="B144" s="461"/>
      <c r="C144" s="462"/>
      <c r="D144" s="462"/>
      <c r="E144" s="462"/>
      <c r="F144" s="462"/>
      <c r="G144" s="462"/>
      <c r="H144" s="462"/>
      <c r="I144" s="462"/>
      <c r="J144" s="462"/>
      <c r="K144" s="461"/>
      <c r="L144" s="462"/>
      <c r="M144" s="462"/>
      <c r="N144" s="462"/>
      <c r="O144" s="462"/>
      <c r="P144" s="462"/>
      <c r="Q144" s="461"/>
      <c r="R144" s="462"/>
      <c r="S144" s="461"/>
      <c r="T144" s="462"/>
      <c r="U144" s="461"/>
      <c r="V144" s="462"/>
      <c r="W144" s="461"/>
      <c r="X144" s="462"/>
      <c r="Y144" s="461"/>
      <c r="Z144" s="461"/>
      <c r="AA144" s="461"/>
      <c r="AB144" s="461"/>
      <c r="AC144" s="461"/>
      <c r="AD144" s="462"/>
    </row>
    <row r="145" spans="1:30" x14ac:dyDescent="0.2">
      <c r="A145" s="485"/>
      <c r="B145" s="461"/>
      <c r="C145" s="462"/>
      <c r="D145" s="462"/>
      <c r="E145" s="462"/>
      <c r="F145" s="462"/>
      <c r="G145" s="462"/>
      <c r="H145" s="462"/>
      <c r="I145" s="462"/>
      <c r="J145" s="462"/>
      <c r="K145" s="461"/>
      <c r="L145" s="462"/>
      <c r="M145" s="462"/>
      <c r="N145" s="462"/>
      <c r="O145" s="462"/>
      <c r="P145" s="462"/>
      <c r="Q145" s="461"/>
      <c r="R145" s="462"/>
      <c r="S145" s="461"/>
      <c r="T145" s="462"/>
      <c r="U145" s="461"/>
      <c r="V145" s="462"/>
      <c r="W145" s="461"/>
      <c r="X145" s="462"/>
      <c r="Y145" s="461"/>
      <c r="Z145" s="461"/>
      <c r="AA145" s="461"/>
      <c r="AB145" s="461"/>
      <c r="AC145" s="461"/>
      <c r="AD145" s="462"/>
    </row>
    <row r="146" spans="1:30" x14ac:dyDescent="0.2">
      <c r="A146" s="485"/>
      <c r="B146" s="461"/>
      <c r="C146" s="462"/>
      <c r="D146" s="462"/>
      <c r="E146" s="462"/>
      <c r="F146" s="462"/>
      <c r="G146" s="462"/>
      <c r="H146" s="462"/>
      <c r="I146" s="462"/>
      <c r="J146" s="462"/>
      <c r="K146" s="461"/>
      <c r="L146" s="462"/>
      <c r="M146" s="462"/>
      <c r="N146" s="462"/>
      <c r="O146" s="462"/>
      <c r="P146" s="462"/>
      <c r="Q146" s="461"/>
      <c r="R146" s="462"/>
      <c r="S146" s="461"/>
      <c r="T146" s="462"/>
      <c r="U146" s="461"/>
      <c r="V146" s="462"/>
      <c r="W146" s="461"/>
      <c r="X146" s="462"/>
      <c r="Y146" s="461"/>
      <c r="Z146" s="461"/>
      <c r="AA146" s="461"/>
      <c r="AB146" s="461"/>
      <c r="AC146" s="461"/>
      <c r="AD146" s="462"/>
    </row>
    <row r="147" spans="1:30" x14ac:dyDescent="0.2">
      <c r="A147" s="485"/>
      <c r="B147" s="461"/>
      <c r="C147" s="462"/>
      <c r="D147" s="462"/>
      <c r="E147" s="462"/>
      <c r="F147" s="462"/>
      <c r="G147" s="462"/>
      <c r="H147" s="462"/>
      <c r="I147" s="462"/>
      <c r="J147" s="462"/>
      <c r="K147" s="461"/>
      <c r="L147" s="462"/>
      <c r="M147" s="462"/>
      <c r="N147" s="462"/>
      <c r="O147" s="462"/>
      <c r="P147" s="462"/>
      <c r="Q147" s="461"/>
      <c r="R147" s="462"/>
      <c r="S147" s="461"/>
      <c r="T147" s="462"/>
      <c r="U147" s="461"/>
      <c r="V147" s="462"/>
      <c r="W147" s="461"/>
      <c r="X147" s="462"/>
      <c r="Y147" s="461"/>
      <c r="Z147" s="461"/>
      <c r="AA147" s="461"/>
      <c r="AB147" s="461"/>
      <c r="AC147" s="461"/>
      <c r="AD147" s="462"/>
    </row>
    <row r="148" spans="1:30" x14ac:dyDescent="0.2">
      <c r="A148" s="485"/>
      <c r="B148" s="461"/>
      <c r="C148" s="462"/>
      <c r="D148" s="462"/>
      <c r="E148" s="462"/>
      <c r="F148" s="462"/>
      <c r="G148" s="462"/>
      <c r="H148" s="462"/>
      <c r="I148" s="462"/>
      <c r="J148" s="462"/>
      <c r="K148" s="461"/>
      <c r="L148" s="462"/>
      <c r="M148" s="462"/>
      <c r="N148" s="462"/>
      <c r="O148" s="462"/>
      <c r="P148" s="462"/>
      <c r="Q148" s="461"/>
      <c r="R148" s="462"/>
      <c r="S148" s="461"/>
      <c r="T148" s="462"/>
      <c r="U148" s="461"/>
      <c r="V148" s="462"/>
      <c r="W148" s="461"/>
      <c r="X148" s="462"/>
      <c r="Y148" s="461"/>
      <c r="Z148" s="461"/>
      <c r="AA148" s="461"/>
      <c r="AB148" s="461"/>
      <c r="AC148" s="461"/>
      <c r="AD148" s="462"/>
    </row>
    <row r="149" spans="1:30" x14ac:dyDescent="0.2">
      <c r="A149" s="485"/>
      <c r="B149" s="461"/>
      <c r="C149" s="462"/>
      <c r="D149" s="462"/>
      <c r="E149" s="462"/>
      <c r="F149" s="462"/>
      <c r="G149" s="462"/>
      <c r="H149" s="462"/>
      <c r="I149" s="462"/>
      <c r="J149" s="462"/>
      <c r="K149" s="461"/>
      <c r="L149" s="462"/>
      <c r="M149" s="462"/>
      <c r="N149" s="462"/>
      <c r="O149" s="462"/>
      <c r="P149" s="462"/>
      <c r="Q149" s="461"/>
      <c r="R149" s="462"/>
      <c r="S149" s="461"/>
      <c r="T149" s="462"/>
      <c r="U149" s="461"/>
      <c r="V149" s="462"/>
      <c r="W149" s="461"/>
      <c r="X149" s="462"/>
      <c r="Y149" s="461"/>
      <c r="Z149" s="461"/>
      <c r="AA149" s="461"/>
      <c r="AB149" s="461"/>
      <c r="AC149" s="461"/>
      <c r="AD149" s="462"/>
    </row>
    <row r="150" spans="1:30" x14ac:dyDescent="0.2">
      <c r="A150" s="485"/>
      <c r="B150" s="461"/>
      <c r="C150" s="462"/>
      <c r="D150" s="462"/>
      <c r="E150" s="462"/>
      <c r="F150" s="462"/>
      <c r="G150" s="462"/>
      <c r="H150" s="462"/>
      <c r="I150" s="462"/>
      <c r="J150" s="462"/>
      <c r="K150" s="461"/>
      <c r="L150" s="462"/>
      <c r="M150" s="462"/>
      <c r="N150" s="462"/>
      <c r="O150" s="462"/>
      <c r="P150" s="462"/>
      <c r="Q150" s="461"/>
      <c r="R150" s="462"/>
      <c r="S150" s="461"/>
      <c r="T150" s="462"/>
      <c r="U150" s="461"/>
      <c r="V150" s="462"/>
      <c r="W150" s="461"/>
      <c r="X150" s="462"/>
      <c r="Y150" s="461"/>
      <c r="Z150" s="461"/>
      <c r="AA150" s="461"/>
      <c r="AB150" s="461"/>
      <c r="AC150" s="461"/>
      <c r="AD150" s="462"/>
    </row>
    <row r="151" spans="1:30" x14ac:dyDescent="0.2">
      <c r="A151" s="485"/>
      <c r="B151" s="461"/>
      <c r="C151" s="462"/>
      <c r="D151" s="462"/>
      <c r="E151" s="462"/>
      <c r="F151" s="462"/>
      <c r="G151" s="462"/>
      <c r="H151" s="462"/>
      <c r="I151" s="462"/>
      <c r="J151" s="462"/>
      <c r="K151" s="461"/>
      <c r="L151" s="462"/>
      <c r="M151" s="462"/>
      <c r="N151" s="462"/>
      <c r="O151" s="462"/>
      <c r="P151" s="462"/>
      <c r="Q151" s="461"/>
      <c r="R151" s="462"/>
      <c r="S151" s="461"/>
      <c r="T151" s="462"/>
      <c r="U151" s="461"/>
      <c r="V151" s="462"/>
      <c r="W151" s="461"/>
      <c r="X151" s="462"/>
      <c r="Y151" s="461"/>
      <c r="Z151" s="461"/>
      <c r="AA151" s="461"/>
      <c r="AB151" s="461"/>
      <c r="AC151" s="461"/>
      <c r="AD151" s="462"/>
    </row>
    <row r="152" spans="1:30" x14ac:dyDescent="0.2">
      <c r="A152" s="485"/>
      <c r="B152" s="461"/>
      <c r="C152" s="462"/>
      <c r="D152" s="462"/>
      <c r="E152" s="462"/>
      <c r="F152" s="462"/>
      <c r="G152" s="462"/>
      <c r="H152" s="462"/>
      <c r="I152" s="462"/>
      <c r="J152" s="462"/>
      <c r="K152" s="461"/>
      <c r="L152" s="462"/>
      <c r="M152" s="462"/>
      <c r="N152" s="462"/>
      <c r="O152" s="462"/>
      <c r="P152" s="462"/>
      <c r="Q152" s="461"/>
      <c r="R152" s="462"/>
      <c r="S152" s="461"/>
      <c r="T152" s="462"/>
      <c r="U152" s="461"/>
      <c r="V152" s="462"/>
      <c r="W152" s="461"/>
      <c r="X152" s="462"/>
      <c r="Y152" s="461"/>
      <c r="Z152" s="461"/>
      <c r="AA152" s="461"/>
      <c r="AB152" s="461"/>
      <c r="AC152" s="461"/>
      <c r="AD152" s="462"/>
    </row>
    <row r="153" spans="1:30" x14ac:dyDescent="0.2">
      <c r="A153" s="485"/>
      <c r="B153" s="461"/>
      <c r="C153" s="462"/>
      <c r="D153" s="462"/>
      <c r="E153" s="462"/>
      <c r="F153" s="462"/>
      <c r="G153" s="462"/>
      <c r="H153" s="462"/>
      <c r="I153" s="462"/>
      <c r="J153" s="462"/>
      <c r="K153" s="461"/>
      <c r="L153" s="462"/>
      <c r="M153" s="462"/>
      <c r="N153" s="462"/>
      <c r="O153" s="462"/>
      <c r="P153" s="462"/>
      <c r="Q153" s="461"/>
      <c r="R153" s="462"/>
      <c r="S153" s="461"/>
      <c r="T153" s="462"/>
      <c r="U153" s="461"/>
      <c r="V153" s="462"/>
      <c r="W153" s="461"/>
      <c r="X153" s="462"/>
      <c r="Y153" s="461"/>
      <c r="Z153" s="461"/>
      <c r="AA153" s="461"/>
      <c r="AB153" s="461"/>
      <c r="AC153" s="461"/>
      <c r="AD153" s="462"/>
    </row>
    <row r="154" spans="1:30" x14ac:dyDescent="0.2">
      <c r="A154" s="485"/>
      <c r="B154" s="461"/>
      <c r="C154" s="462"/>
      <c r="D154" s="462"/>
      <c r="E154" s="462"/>
      <c r="F154" s="462"/>
      <c r="G154" s="462"/>
      <c r="H154" s="462"/>
      <c r="I154" s="462"/>
      <c r="J154" s="462"/>
      <c r="K154" s="461"/>
      <c r="L154" s="462"/>
      <c r="M154" s="462"/>
      <c r="N154" s="462"/>
      <c r="O154" s="462"/>
      <c r="P154" s="462"/>
      <c r="Q154" s="461"/>
      <c r="R154" s="462"/>
      <c r="S154" s="461"/>
      <c r="T154" s="462"/>
      <c r="U154" s="461"/>
      <c r="V154" s="462"/>
      <c r="W154" s="461"/>
      <c r="X154" s="462"/>
      <c r="Y154" s="461"/>
      <c r="Z154" s="461"/>
      <c r="AA154" s="461"/>
      <c r="AB154" s="461"/>
      <c r="AC154" s="461"/>
      <c r="AD154" s="462"/>
    </row>
    <row r="155" spans="1:30" x14ac:dyDescent="0.2">
      <c r="A155" s="485"/>
      <c r="B155" s="461"/>
      <c r="C155" s="462"/>
      <c r="D155" s="462"/>
      <c r="E155" s="462"/>
      <c r="F155" s="462"/>
      <c r="G155" s="462"/>
      <c r="H155" s="462"/>
      <c r="I155" s="462"/>
      <c r="J155" s="462"/>
      <c r="K155" s="461"/>
      <c r="L155" s="462"/>
      <c r="M155" s="462"/>
      <c r="N155" s="462"/>
      <c r="O155" s="462"/>
      <c r="P155" s="462"/>
      <c r="Q155" s="461"/>
      <c r="R155" s="462"/>
      <c r="S155" s="461"/>
      <c r="T155" s="462"/>
      <c r="U155" s="461"/>
      <c r="V155" s="462"/>
      <c r="W155" s="461"/>
      <c r="X155" s="462"/>
      <c r="Y155" s="461"/>
      <c r="Z155" s="461"/>
      <c r="AA155" s="461"/>
      <c r="AB155" s="461"/>
      <c r="AC155" s="461"/>
      <c r="AD155" s="462"/>
    </row>
    <row r="156" spans="1:30" x14ac:dyDescent="0.2">
      <c r="A156" s="485"/>
      <c r="B156" s="461"/>
      <c r="C156" s="462"/>
      <c r="D156" s="462"/>
      <c r="E156" s="462"/>
      <c r="F156" s="462"/>
      <c r="G156" s="462"/>
      <c r="H156" s="462"/>
      <c r="I156" s="462"/>
      <c r="J156" s="462"/>
      <c r="K156" s="461"/>
      <c r="L156" s="462"/>
      <c r="M156" s="462"/>
      <c r="N156" s="462"/>
      <c r="O156" s="462"/>
      <c r="P156" s="462"/>
      <c r="Q156" s="461"/>
      <c r="R156" s="462"/>
      <c r="S156" s="461"/>
      <c r="T156" s="462"/>
      <c r="U156" s="461"/>
      <c r="V156" s="462"/>
      <c r="W156" s="461"/>
      <c r="X156" s="462"/>
      <c r="Y156" s="461"/>
      <c r="Z156" s="461"/>
      <c r="AA156" s="461"/>
      <c r="AB156" s="461"/>
      <c r="AC156" s="461"/>
      <c r="AD156" s="462"/>
    </row>
    <row r="157" spans="1:30" x14ac:dyDescent="0.2">
      <c r="A157" s="485"/>
      <c r="B157" s="461"/>
      <c r="C157" s="462"/>
      <c r="D157" s="462"/>
      <c r="E157" s="462"/>
      <c r="F157" s="462"/>
      <c r="G157" s="462"/>
      <c r="H157" s="462"/>
      <c r="I157" s="462"/>
      <c r="J157" s="462"/>
      <c r="K157" s="461"/>
      <c r="L157" s="462"/>
      <c r="M157" s="462"/>
      <c r="N157" s="462"/>
      <c r="O157" s="462"/>
      <c r="P157" s="462"/>
      <c r="Q157" s="461"/>
      <c r="R157" s="462"/>
      <c r="S157" s="461"/>
      <c r="T157" s="462"/>
      <c r="U157" s="461"/>
      <c r="V157" s="462"/>
      <c r="W157" s="461"/>
      <c r="X157" s="462"/>
      <c r="Y157" s="461"/>
      <c r="Z157" s="461"/>
      <c r="AA157" s="461"/>
      <c r="AB157" s="461"/>
      <c r="AC157" s="461"/>
      <c r="AD157" s="462"/>
    </row>
    <row r="158" spans="1:30" x14ac:dyDescent="0.2">
      <c r="A158" s="485"/>
      <c r="B158" s="461"/>
      <c r="C158" s="462"/>
      <c r="D158" s="462"/>
      <c r="E158" s="462"/>
      <c r="F158" s="462"/>
      <c r="G158" s="462"/>
      <c r="H158" s="462"/>
      <c r="I158" s="462"/>
      <c r="J158" s="462"/>
      <c r="K158" s="461"/>
      <c r="L158" s="462"/>
      <c r="M158" s="462"/>
      <c r="N158" s="462"/>
      <c r="O158" s="462"/>
      <c r="P158" s="462"/>
      <c r="Q158" s="461"/>
      <c r="R158" s="462"/>
      <c r="S158" s="461"/>
      <c r="T158" s="462"/>
      <c r="U158" s="461"/>
      <c r="V158" s="462"/>
      <c r="W158" s="461"/>
      <c r="X158" s="462"/>
      <c r="Y158" s="461"/>
      <c r="Z158" s="461"/>
      <c r="AA158" s="461"/>
      <c r="AB158" s="461"/>
      <c r="AC158" s="461"/>
      <c r="AD158" s="462"/>
    </row>
    <row r="159" spans="1:30" x14ac:dyDescent="0.2">
      <c r="A159" s="485"/>
      <c r="B159" s="461"/>
      <c r="C159" s="462"/>
      <c r="D159" s="462"/>
      <c r="E159" s="462"/>
      <c r="F159" s="462"/>
      <c r="G159" s="462"/>
      <c r="H159" s="462"/>
      <c r="I159" s="462"/>
      <c r="J159" s="462"/>
      <c r="K159" s="461"/>
      <c r="L159" s="462"/>
      <c r="M159" s="462"/>
      <c r="N159" s="462"/>
      <c r="O159" s="462"/>
      <c r="P159" s="462"/>
      <c r="Q159" s="461"/>
      <c r="R159" s="462"/>
      <c r="S159" s="461"/>
      <c r="T159" s="462"/>
      <c r="U159" s="461"/>
      <c r="V159" s="462"/>
      <c r="W159" s="461"/>
      <c r="X159" s="462"/>
      <c r="Y159" s="461"/>
      <c r="Z159" s="461"/>
      <c r="AA159" s="461"/>
      <c r="AB159" s="461"/>
      <c r="AC159" s="461"/>
      <c r="AD159" s="462"/>
    </row>
    <row r="160" spans="1:30" x14ac:dyDescent="0.2">
      <c r="A160" s="485"/>
      <c r="B160" s="461"/>
      <c r="C160" s="462"/>
      <c r="D160" s="462"/>
      <c r="E160" s="462"/>
      <c r="F160" s="462"/>
      <c r="G160" s="462"/>
      <c r="H160" s="462"/>
      <c r="I160" s="462"/>
      <c r="J160" s="462"/>
      <c r="K160" s="461"/>
      <c r="L160" s="462"/>
      <c r="M160" s="462"/>
      <c r="N160" s="462"/>
      <c r="O160" s="462"/>
      <c r="P160" s="462"/>
      <c r="Q160" s="461"/>
      <c r="R160" s="462"/>
      <c r="S160" s="461"/>
      <c r="T160" s="462"/>
      <c r="U160" s="461"/>
      <c r="V160" s="462"/>
      <c r="W160" s="461"/>
      <c r="X160" s="462"/>
      <c r="Y160" s="461"/>
      <c r="Z160" s="461"/>
      <c r="AA160" s="461"/>
      <c r="AB160" s="461"/>
      <c r="AC160" s="461"/>
      <c r="AD160" s="462"/>
    </row>
    <row r="161" spans="1:30" x14ac:dyDescent="0.2">
      <c r="A161" s="485"/>
      <c r="B161" s="461"/>
      <c r="C161" s="462"/>
      <c r="D161" s="462"/>
      <c r="E161" s="462"/>
      <c r="F161" s="462"/>
      <c r="G161" s="462"/>
      <c r="H161" s="462"/>
      <c r="I161" s="462"/>
      <c r="J161" s="462"/>
      <c r="K161" s="461"/>
      <c r="L161" s="462"/>
      <c r="M161" s="462"/>
      <c r="N161" s="462"/>
      <c r="O161" s="462"/>
      <c r="P161" s="462"/>
      <c r="Q161" s="461"/>
      <c r="R161" s="462"/>
      <c r="S161" s="461"/>
      <c r="T161" s="462"/>
      <c r="U161" s="461"/>
      <c r="V161" s="462"/>
      <c r="W161" s="461"/>
      <c r="X161" s="462"/>
      <c r="Y161" s="461"/>
      <c r="Z161" s="461"/>
      <c r="AA161" s="461"/>
      <c r="AB161" s="461"/>
      <c r="AC161" s="461"/>
      <c r="AD161" s="462"/>
    </row>
    <row r="162" spans="1:30" x14ac:dyDescent="0.2">
      <c r="A162" s="485"/>
      <c r="B162" s="461"/>
      <c r="C162" s="462"/>
      <c r="D162" s="462"/>
      <c r="E162" s="462"/>
      <c r="F162" s="462"/>
      <c r="G162" s="462"/>
      <c r="H162" s="462"/>
      <c r="I162" s="462"/>
      <c r="J162" s="462"/>
      <c r="K162" s="461"/>
      <c r="L162" s="462"/>
      <c r="M162" s="462"/>
      <c r="N162" s="462"/>
      <c r="O162" s="462"/>
      <c r="P162" s="462"/>
      <c r="Q162" s="461"/>
      <c r="R162" s="462"/>
      <c r="S162" s="461"/>
      <c r="T162" s="462"/>
      <c r="U162" s="461"/>
      <c r="V162" s="462"/>
      <c r="W162" s="461"/>
      <c r="X162" s="462"/>
      <c r="Y162" s="461"/>
      <c r="Z162" s="461"/>
      <c r="AA162" s="461"/>
      <c r="AB162" s="461"/>
      <c r="AC162" s="461"/>
      <c r="AD162" s="462"/>
    </row>
    <row r="163" spans="1:30" x14ac:dyDescent="0.2">
      <c r="A163" s="485"/>
      <c r="B163" s="461"/>
      <c r="C163" s="462"/>
      <c r="D163" s="462"/>
      <c r="E163" s="462"/>
      <c r="F163" s="462"/>
      <c r="G163" s="462"/>
      <c r="H163" s="462"/>
      <c r="I163" s="462"/>
      <c r="J163" s="462"/>
      <c r="K163" s="461"/>
      <c r="L163" s="462"/>
      <c r="M163" s="462"/>
      <c r="N163" s="462"/>
      <c r="O163" s="462"/>
      <c r="P163" s="462"/>
      <c r="Q163" s="461"/>
      <c r="R163" s="462"/>
      <c r="S163" s="461"/>
      <c r="T163" s="462"/>
      <c r="U163" s="461"/>
      <c r="V163" s="462"/>
      <c r="W163" s="461"/>
      <c r="X163" s="462"/>
      <c r="Y163" s="461"/>
      <c r="Z163" s="461"/>
      <c r="AA163" s="461"/>
      <c r="AB163" s="461"/>
      <c r="AC163" s="461"/>
      <c r="AD163" s="462"/>
    </row>
    <row r="164" spans="1:30" x14ac:dyDescent="0.2">
      <c r="A164" s="485"/>
      <c r="B164" s="461"/>
      <c r="C164" s="462"/>
      <c r="D164" s="462"/>
      <c r="E164" s="462"/>
      <c r="F164" s="462"/>
      <c r="G164" s="462"/>
      <c r="H164" s="462"/>
      <c r="I164" s="462"/>
      <c r="J164" s="462"/>
      <c r="K164" s="461"/>
      <c r="L164" s="462"/>
      <c r="M164" s="462"/>
      <c r="N164" s="462"/>
      <c r="O164" s="462"/>
      <c r="P164" s="462"/>
      <c r="Q164" s="461"/>
      <c r="R164" s="462"/>
      <c r="S164" s="461"/>
      <c r="T164" s="462"/>
      <c r="U164" s="461"/>
      <c r="V164" s="462"/>
      <c r="W164" s="461"/>
      <c r="X164" s="462"/>
      <c r="Y164" s="461"/>
      <c r="Z164" s="461"/>
      <c r="AA164" s="461"/>
      <c r="AB164" s="461"/>
      <c r="AC164" s="461"/>
      <c r="AD164" s="462"/>
    </row>
    <row r="165" spans="1:30" x14ac:dyDescent="0.2">
      <c r="A165" s="485"/>
      <c r="B165" s="461"/>
      <c r="C165" s="462"/>
      <c r="D165" s="462"/>
      <c r="E165" s="462"/>
      <c r="F165" s="462"/>
      <c r="G165" s="462"/>
      <c r="H165" s="462"/>
      <c r="I165" s="462"/>
      <c r="J165" s="462"/>
      <c r="K165" s="461"/>
      <c r="L165" s="462"/>
      <c r="M165" s="462"/>
      <c r="N165" s="462"/>
      <c r="O165" s="462"/>
      <c r="P165" s="462"/>
      <c r="Q165" s="461"/>
      <c r="R165" s="462"/>
      <c r="S165" s="461"/>
      <c r="T165" s="462"/>
      <c r="U165" s="461"/>
      <c r="V165" s="462"/>
      <c r="W165" s="461"/>
      <c r="X165" s="462"/>
      <c r="Y165" s="461"/>
      <c r="Z165" s="461"/>
      <c r="AA165" s="461"/>
      <c r="AB165" s="461"/>
      <c r="AC165" s="461"/>
      <c r="AD165" s="462"/>
    </row>
    <row r="166" spans="1:30" x14ac:dyDescent="0.2">
      <c r="A166" s="485"/>
      <c r="B166" s="461"/>
      <c r="C166" s="462"/>
      <c r="D166" s="462"/>
      <c r="E166" s="462"/>
      <c r="F166" s="462"/>
      <c r="G166" s="462"/>
      <c r="H166" s="462"/>
      <c r="I166" s="462"/>
      <c r="J166" s="462"/>
      <c r="K166" s="461"/>
      <c r="L166" s="462"/>
      <c r="M166" s="462"/>
      <c r="N166" s="462"/>
      <c r="O166" s="462"/>
      <c r="P166" s="462"/>
      <c r="Q166" s="461"/>
      <c r="R166" s="462"/>
      <c r="S166" s="461"/>
      <c r="T166" s="462"/>
      <c r="U166" s="461"/>
      <c r="V166" s="462"/>
      <c r="W166" s="461"/>
      <c r="X166" s="462"/>
      <c r="Y166" s="461"/>
      <c r="Z166" s="461"/>
      <c r="AA166" s="461"/>
      <c r="AB166" s="461"/>
      <c r="AC166" s="461"/>
      <c r="AD166" s="462"/>
    </row>
    <row r="167" spans="1:30" x14ac:dyDescent="0.2">
      <c r="A167" s="485"/>
      <c r="B167" s="461"/>
      <c r="C167" s="462"/>
      <c r="D167" s="462"/>
      <c r="E167" s="462"/>
      <c r="F167" s="462"/>
      <c r="G167" s="462"/>
      <c r="H167" s="462"/>
      <c r="I167" s="462"/>
      <c r="J167" s="462"/>
      <c r="K167" s="461"/>
      <c r="L167" s="462"/>
      <c r="M167" s="462"/>
      <c r="N167" s="462"/>
      <c r="O167" s="462"/>
      <c r="P167" s="462"/>
      <c r="Q167" s="461"/>
      <c r="R167" s="462"/>
      <c r="S167" s="461"/>
      <c r="T167" s="462"/>
      <c r="U167" s="461"/>
      <c r="V167" s="462"/>
      <c r="W167" s="461"/>
      <c r="X167" s="462"/>
      <c r="Y167" s="461"/>
      <c r="Z167" s="461"/>
      <c r="AA167" s="461"/>
      <c r="AB167" s="461"/>
      <c r="AC167" s="461"/>
      <c r="AD167" s="462"/>
    </row>
    <row r="168" spans="1:30" x14ac:dyDescent="0.2">
      <c r="A168" s="485"/>
      <c r="B168" s="461"/>
      <c r="C168" s="462"/>
      <c r="D168" s="462"/>
      <c r="E168" s="462"/>
      <c r="F168" s="462"/>
      <c r="G168" s="462"/>
      <c r="H168" s="462"/>
      <c r="I168" s="462"/>
      <c r="J168" s="462"/>
      <c r="K168" s="461"/>
      <c r="L168" s="462"/>
      <c r="M168" s="462"/>
      <c r="N168" s="462"/>
      <c r="O168" s="462"/>
      <c r="P168" s="462"/>
      <c r="Q168" s="461"/>
      <c r="R168" s="462"/>
      <c r="S168" s="461"/>
      <c r="T168" s="462"/>
      <c r="U168" s="461"/>
      <c r="V168" s="462"/>
      <c r="W168" s="461"/>
      <c r="X168" s="462"/>
      <c r="Y168" s="461"/>
      <c r="Z168" s="461"/>
      <c r="AA168" s="461"/>
      <c r="AB168" s="461"/>
      <c r="AC168" s="461"/>
      <c r="AD168" s="462"/>
    </row>
    <row r="169" spans="1:30" x14ac:dyDescent="0.2">
      <c r="A169" s="485"/>
      <c r="B169" s="461"/>
      <c r="C169" s="462"/>
      <c r="D169" s="462"/>
      <c r="E169" s="462"/>
      <c r="F169" s="462"/>
      <c r="G169" s="462"/>
      <c r="H169" s="462"/>
      <c r="I169" s="462"/>
      <c r="J169" s="462"/>
      <c r="K169" s="461"/>
      <c r="L169" s="462"/>
      <c r="M169" s="462"/>
      <c r="N169" s="462"/>
      <c r="O169" s="462"/>
      <c r="P169" s="462"/>
      <c r="Q169" s="461"/>
      <c r="R169" s="462"/>
      <c r="S169" s="461"/>
      <c r="T169" s="462"/>
      <c r="U169" s="461"/>
      <c r="V169" s="462"/>
      <c r="W169" s="461"/>
      <c r="X169" s="462"/>
      <c r="Y169" s="461"/>
      <c r="Z169" s="461"/>
      <c r="AA169" s="461"/>
      <c r="AB169" s="461"/>
      <c r="AC169" s="461"/>
      <c r="AD169" s="462"/>
    </row>
    <row r="170" spans="1:30" x14ac:dyDescent="0.2">
      <c r="A170" s="485"/>
      <c r="B170" s="461"/>
      <c r="C170" s="462"/>
      <c r="D170" s="462"/>
      <c r="E170" s="462"/>
      <c r="F170" s="462"/>
      <c r="G170" s="462"/>
      <c r="H170" s="462"/>
      <c r="I170" s="462"/>
      <c r="J170" s="462"/>
      <c r="K170" s="461"/>
      <c r="L170" s="462"/>
      <c r="M170" s="462"/>
      <c r="N170" s="462"/>
      <c r="O170" s="462"/>
      <c r="P170" s="462"/>
      <c r="Q170" s="461"/>
      <c r="R170" s="462"/>
      <c r="S170" s="461"/>
      <c r="T170" s="462"/>
      <c r="U170" s="461"/>
      <c r="V170" s="462"/>
      <c r="W170" s="461"/>
      <c r="X170" s="462"/>
      <c r="Y170" s="461"/>
      <c r="Z170" s="461"/>
      <c r="AA170" s="461"/>
      <c r="AB170" s="461"/>
      <c r="AC170" s="461"/>
      <c r="AD170" s="462"/>
    </row>
    <row r="171" spans="1:30" x14ac:dyDescent="0.2">
      <c r="A171" s="485"/>
      <c r="B171" s="461"/>
      <c r="C171" s="462"/>
      <c r="D171" s="462"/>
      <c r="E171" s="462"/>
      <c r="F171" s="462"/>
      <c r="G171" s="462"/>
      <c r="H171" s="462"/>
      <c r="I171" s="462"/>
      <c r="J171" s="462"/>
      <c r="K171" s="461"/>
      <c r="L171" s="462"/>
      <c r="M171" s="462"/>
      <c r="N171" s="462"/>
      <c r="O171" s="462"/>
      <c r="P171" s="462"/>
      <c r="Q171" s="461"/>
      <c r="R171" s="462"/>
      <c r="S171" s="461"/>
      <c r="T171" s="462"/>
      <c r="U171" s="461"/>
      <c r="V171" s="462"/>
      <c r="W171" s="461"/>
      <c r="X171" s="462"/>
      <c r="Y171" s="461"/>
      <c r="Z171" s="461"/>
      <c r="AA171" s="461"/>
      <c r="AB171" s="461"/>
      <c r="AC171" s="461"/>
      <c r="AD171" s="462"/>
    </row>
    <row r="172" spans="1:30" x14ac:dyDescent="0.2">
      <c r="A172" s="485"/>
      <c r="B172" s="461"/>
      <c r="C172" s="462"/>
      <c r="D172" s="462"/>
      <c r="E172" s="462"/>
      <c r="F172" s="462"/>
      <c r="G172" s="462"/>
      <c r="H172" s="462"/>
      <c r="I172" s="462"/>
      <c r="J172" s="462"/>
      <c r="K172" s="461"/>
      <c r="L172" s="462"/>
      <c r="M172" s="462"/>
      <c r="N172" s="462"/>
      <c r="O172" s="462"/>
      <c r="P172" s="462"/>
      <c r="Q172" s="461"/>
      <c r="R172" s="462"/>
      <c r="S172" s="461"/>
      <c r="T172" s="462"/>
      <c r="U172" s="461"/>
      <c r="V172" s="462"/>
      <c r="W172" s="461"/>
      <c r="X172" s="462"/>
      <c r="Y172" s="461"/>
      <c r="Z172" s="461"/>
      <c r="AA172" s="461"/>
      <c r="AB172" s="461"/>
      <c r="AC172" s="461"/>
      <c r="AD172" s="462"/>
    </row>
    <row r="173" spans="1:30" x14ac:dyDescent="0.2">
      <c r="A173" s="485"/>
      <c r="B173" s="461"/>
      <c r="C173" s="462"/>
      <c r="D173" s="462"/>
      <c r="E173" s="462"/>
      <c r="F173" s="462"/>
      <c r="G173" s="462"/>
      <c r="H173" s="462"/>
      <c r="I173" s="462"/>
      <c r="J173" s="462"/>
      <c r="K173" s="461"/>
      <c r="L173" s="462"/>
      <c r="M173" s="462"/>
      <c r="N173" s="462"/>
      <c r="O173" s="462"/>
      <c r="P173" s="462"/>
      <c r="Q173" s="461"/>
      <c r="R173" s="462"/>
      <c r="S173" s="461"/>
      <c r="T173" s="462"/>
      <c r="U173" s="461"/>
      <c r="V173" s="462"/>
      <c r="W173" s="461"/>
      <c r="X173" s="462"/>
      <c r="Y173" s="461"/>
      <c r="Z173" s="461"/>
      <c r="AA173" s="461"/>
      <c r="AB173" s="461"/>
      <c r="AC173" s="461"/>
      <c r="AD173" s="462"/>
    </row>
    <row r="174" spans="1:30" x14ac:dyDescent="0.2">
      <c r="A174" s="485"/>
      <c r="B174" s="461"/>
      <c r="C174" s="462"/>
      <c r="D174" s="462"/>
      <c r="E174" s="462"/>
      <c r="F174" s="462"/>
      <c r="G174" s="462"/>
      <c r="H174" s="462"/>
      <c r="I174" s="462"/>
      <c r="J174" s="462"/>
      <c r="K174" s="461"/>
      <c r="L174" s="462"/>
      <c r="M174" s="462"/>
      <c r="N174" s="462"/>
      <c r="O174" s="462"/>
      <c r="P174" s="462"/>
      <c r="Q174" s="461"/>
      <c r="R174" s="462"/>
      <c r="S174" s="461"/>
      <c r="T174" s="462"/>
      <c r="U174" s="461"/>
      <c r="V174" s="462"/>
      <c r="W174" s="461"/>
      <c r="X174" s="462"/>
      <c r="Y174" s="461"/>
      <c r="Z174" s="461"/>
      <c r="AA174" s="461"/>
      <c r="AB174" s="461"/>
      <c r="AC174" s="461"/>
      <c r="AD174" s="462"/>
    </row>
    <row r="175" spans="1:30" x14ac:dyDescent="0.2">
      <c r="A175" s="485"/>
      <c r="B175" s="461"/>
      <c r="C175" s="462"/>
      <c r="D175" s="462"/>
      <c r="E175" s="462"/>
      <c r="F175" s="462"/>
      <c r="G175" s="462"/>
      <c r="H175" s="462"/>
      <c r="I175" s="462"/>
      <c r="J175" s="462"/>
      <c r="K175" s="461"/>
      <c r="L175" s="462"/>
      <c r="M175" s="462"/>
      <c r="N175" s="462"/>
      <c r="O175" s="462"/>
      <c r="P175" s="462"/>
      <c r="Q175" s="461"/>
      <c r="R175" s="462"/>
      <c r="S175" s="461"/>
      <c r="T175" s="462"/>
      <c r="U175" s="461"/>
      <c r="V175" s="462"/>
      <c r="W175" s="461"/>
      <c r="X175" s="462"/>
      <c r="Y175" s="461"/>
      <c r="Z175" s="461"/>
      <c r="AA175" s="461"/>
      <c r="AB175" s="461"/>
      <c r="AC175" s="461"/>
      <c r="AD175" s="462"/>
    </row>
    <row r="176" spans="1:30" x14ac:dyDescent="0.2">
      <c r="A176" s="485"/>
      <c r="B176" s="461"/>
      <c r="C176" s="462"/>
      <c r="D176" s="462"/>
      <c r="E176" s="462"/>
      <c r="F176" s="462"/>
      <c r="G176" s="462"/>
      <c r="H176" s="462"/>
      <c r="I176" s="462"/>
      <c r="J176" s="462"/>
      <c r="K176" s="461"/>
      <c r="L176" s="462"/>
      <c r="M176" s="462"/>
      <c r="N176" s="462"/>
      <c r="O176" s="462"/>
      <c r="P176" s="462"/>
      <c r="Q176" s="461"/>
      <c r="R176" s="462"/>
      <c r="S176" s="461"/>
      <c r="T176" s="462"/>
      <c r="U176" s="461"/>
      <c r="V176" s="462"/>
      <c r="W176" s="461"/>
      <c r="X176" s="462"/>
      <c r="Y176" s="461"/>
      <c r="Z176" s="461"/>
      <c r="AA176" s="461"/>
      <c r="AB176" s="461"/>
      <c r="AC176" s="461"/>
      <c r="AD176" s="462"/>
    </row>
    <row r="177" spans="1:30" x14ac:dyDescent="0.2">
      <c r="A177" s="485"/>
      <c r="B177" s="461"/>
      <c r="C177" s="462"/>
      <c r="D177" s="462"/>
      <c r="E177" s="462"/>
      <c r="F177" s="462"/>
      <c r="G177" s="462"/>
      <c r="H177" s="462"/>
      <c r="I177" s="462"/>
      <c r="J177" s="462"/>
      <c r="K177" s="461"/>
      <c r="L177" s="462"/>
      <c r="M177" s="462"/>
      <c r="N177" s="462"/>
      <c r="O177" s="462"/>
      <c r="P177" s="462"/>
      <c r="Q177" s="461"/>
      <c r="R177" s="462"/>
      <c r="S177" s="461"/>
      <c r="T177" s="462"/>
      <c r="U177" s="461"/>
      <c r="V177" s="462"/>
      <c r="W177" s="461"/>
      <c r="X177" s="462"/>
      <c r="Y177" s="461"/>
      <c r="Z177" s="461"/>
      <c r="AA177" s="461"/>
      <c r="AB177" s="461"/>
      <c r="AC177" s="461"/>
      <c r="AD177" s="462"/>
    </row>
    <row r="178" spans="1:30" x14ac:dyDescent="0.2">
      <c r="A178" s="485"/>
      <c r="B178" s="461"/>
      <c r="C178" s="462"/>
      <c r="D178" s="462"/>
      <c r="E178" s="462"/>
      <c r="F178" s="462"/>
      <c r="G178" s="462"/>
      <c r="H178" s="462"/>
      <c r="I178" s="462"/>
      <c r="J178" s="462"/>
      <c r="K178" s="461"/>
      <c r="L178" s="462"/>
      <c r="M178" s="462"/>
      <c r="N178" s="462"/>
      <c r="O178" s="462"/>
      <c r="P178" s="462"/>
      <c r="Q178" s="461"/>
      <c r="R178" s="462"/>
      <c r="S178" s="461"/>
      <c r="T178" s="462"/>
      <c r="U178" s="461"/>
      <c r="V178" s="462"/>
      <c r="W178" s="461"/>
      <c r="X178" s="462"/>
      <c r="Y178" s="461"/>
      <c r="Z178" s="461"/>
      <c r="AA178" s="461"/>
      <c r="AB178" s="461"/>
      <c r="AC178" s="461"/>
      <c r="AD178" s="462"/>
    </row>
    <row r="179" spans="1:30" x14ac:dyDescent="0.2">
      <c r="A179" s="485"/>
      <c r="B179" s="461"/>
      <c r="C179" s="462"/>
      <c r="D179" s="462"/>
      <c r="E179" s="462"/>
      <c r="F179" s="462"/>
      <c r="G179" s="462"/>
      <c r="H179" s="462"/>
      <c r="I179" s="462"/>
      <c r="J179" s="462"/>
      <c r="K179" s="461"/>
      <c r="L179" s="462"/>
      <c r="M179" s="462"/>
      <c r="N179" s="462"/>
      <c r="O179" s="462"/>
      <c r="P179" s="462"/>
      <c r="Q179" s="461"/>
      <c r="R179" s="462"/>
      <c r="S179" s="461"/>
      <c r="T179" s="462"/>
      <c r="U179" s="461"/>
      <c r="V179" s="462"/>
      <c r="W179" s="461"/>
      <c r="X179" s="462"/>
      <c r="Y179" s="461"/>
      <c r="Z179" s="461"/>
      <c r="AA179" s="461"/>
      <c r="AB179" s="461"/>
      <c r="AC179" s="461"/>
      <c r="AD179" s="462"/>
    </row>
    <row r="180" spans="1:30" x14ac:dyDescent="0.2">
      <c r="A180" s="485"/>
      <c r="B180" s="461"/>
      <c r="C180" s="462"/>
      <c r="D180" s="462"/>
      <c r="E180" s="462"/>
      <c r="F180" s="462"/>
      <c r="G180" s="462"/>
      <c r="H180" s="462"/>
      <c r="I180" s="462"/>
      <c r="J180" s="462"/>
      <c r="K180" s="461"/>
      <c r="L180" s="462"/>
      <c r="M180" s="462"/>
      <c r="N180" s="462"/>
      <c r="O180" s="462"/>
      <c r="P180" s="462"/>
      <c r="Q180" s="461"/>
      <c r="R180" s="462"/>
      <c r="S180" s="461"/>
      <c r="T180" s="462"/>
      <c r="U180" s="461"/>
      <c r="V180" s="462"/>
      <c r="W180" s="461"/>
      <c r="X180" s="462"/>
      <c r="Y180" s="461"/>
      <c r="Z180" s="461"/>
      <c r="AA180" s="461"/>
      <c r="AB180" s="461"/>
      <c r="AC180" s="461"/>
      <c r="AD180" s="462"/>
    </row>
    <row r="181" spans="1:30" x14ac:dyDescent="0.2">
      <c r="A181" s="485"/>
      <c r="B181" s="461"/>
      <c r="C181" s="462"/>
      <c r="D181" s="462"/>
      <c r="E181" s="462"/>
      <c r="F181" s="462"/>
      <c r="G181" s="462"/>
      <c r="H181" s="462"/>
      <c r="I181" s="462"/>
      <c r="J181" s="462"/>
      <c r="K181" s="461"/>
      <c r="L181" s="462"/>
      <c r="M181" s="462"/>
      <c r="N181" s="462"/>
      <c r="O181" s="462"/>
      <c r="P181" s="462"/>
      <c r="Q181" s="461"/>
      <c r="R181" s="462"/>
      <c r="S181" s="461"/>
      <c r="T181" s="462"/>
      <c r="U181" s="461"/>
      <c r="V181" s="462"/>
      <c r="W181" s="461"/>
      <c r="X181" s="462"/>
      <c r="Y181" s="461"/>
      <c r="Z181" s="461"/>
      <c r="AA181" s="461"/>
      <c r="AB181" s="461"/>
      <c r="AC181" s="461"/>
      <c r="AD181" s="462"/>
    </row>
    <row r="182" spans="1:30" x14ac:dyDescent="0.2">
      <c r="A182" s="485"/>
      <c r="B182" s="461"/>
      <c r="C182" s="462"/>
      <c r="D182" s="462"/>
      <c r="E182" s="462"/>
      <c r="F182" s="462"/>
      <c r="G182" s="462"/>
      <c r="H182" s="462"/>
      <c r="I182" s="462"/>
      <c r="J182" s="462"/>
      <c r="K182" s="461"/>
      <c r="L182" s="462"/>
      <c r="M182" s="462"/>
      <c r="N182" s="462"/>
      <c r="O182" s="462"/>
      <c r="P182" s="462"/>
      <c r="Q182" s="461"/>
      <c r="R182" s="462"/>
      <c r="S182" s="461"/>
      <c r="T182" s="462"/>
      <c r="U182" s="461"/>
      <c r="V182" s="462"/>
      <c r="W182" s="461"/>
      <c r="X182" s="462"/>
      <c r="Y182" s="461"/>
      <c r="Z182" s="461"/>
      <c r="AA182" s="461"/>
      <c r="AB182" s="461"/>
      <c r="AC182" s="461"/>
      <c r="AD182" s="462"/>
    </row>
    <row r="183" spans="1:30" x14ac:dyDescent="0.2">
      <c r="A183" s="485"/>
      <c r="B183" s="461"/>
      <c r="C183" s="462"/>
      <c r="D183" s="462"/>
      <c r="E183" s="462"/>
      <c r="F183" s="462"/>
      <c r="G183" s="462"/>
      <c r="H183" s="462"/>
      <c r="I183" s="462"/>
      <c r="J183" s="462"/>
      <c r="K183" s="461"/>
      <c r="L183" s="462"/>
      <c r="M183" s="462"/>
      <c r="N183" s="462"/>
      <c r="O183" s="462"/>
      <c r="P183" s="462"/>
      <c r="Q183" s="461"/>
      <c r="R183" s="462"/>
      <c r="S183" s="461"/>
      <c r="T183" s="462"/>
      <c r="U183" s="461"/>
      <c r="V183" s="462"/>
      <c r="W183" s="461"/>
      <c r="X183" s="462"/>
      <c r="Y183" s="461"/>
      <c r="Z183" s="461"/>
      <c r="AA183" s="461"/>
      <c r="AB183" s="461"/>
      <c r="AC183" s="461"/>
      <c r="AD183" s="462"/>
    </row>
    <row r="184" spans="1:30" x14ac:dyDescent="0.2">
      <c r="A184" s="485"/>
      <c r="B184" s="461"/>
      <c r="C184" s="462"/>
      <c r="D184" s="462"/>
      <c r="E184" s="462"/>
      <c r="F184" s="462"/>
      <c r="G184" s="462"/>
      <c r="H184" s="462"/>
      <c r="I184" s="462"/>
      <c r="J184" s="462"/>
      <c r="K184" s="461"/>
      <c r="L184" s="462"/>
      <c r="M184" s="462"/>
      <c r="N184" s="462"/>
      <c r="O184" s="462"/>
      <c r="P184" s="462"/>
      <c r="Q184" s="461"/>
      <c r="R184" s="462"/>
      <c r="S184" s="461"/>
      <c r="T184" s="462"/>
      <c r="U184" s="461"/>
      <c r="V184" s="462"/>
      <c r="W184" s="461"/>
      <c r="X184" s="462"/>
      <c r="Y184" s="461"/>
      <c r="Z184" s="461"/>
      <c r="AA184" s="461"/>
      <c r="AB184" s="461"/>
      <c r="AC184" s="461"/>
      <c r="AD184" s="462"/>
    </row>
    <row r="185" spans="1:30" x14ac:dyDescent="0.2">
      <c r="A185" s="485"/>
      <c r="B185" s="461"/>
      <c r="C185" s="462"/>
      <c r="D185" s="462"/>
      <c r="E185" s="462"/>
      <c r="F185" s="462"/>
      <c r="G185" s="462"/>
      <c r="H185" s="462"/>
      <c r="I185" s="462"/>
      <c r="J185" s="462"/>
      <c r="K185" s="461"/>
      <c r="L185" s="462"/>
      <c r="M185" s="462"/>
      <c r="N185" s="462"/>
      <c r="O185" s="462"/>
      <c r="P185" s="462"/>
      <c r="Q185" s="461"/>
      <c r="R185" s="462"/>
      <c r="S185" s="461"/>
      <c r="T185" s="462"/>
      <c r="U185" s="461"/>
      <c r="V185" s="462"/>
      <c r="W185" s="461"/>
      <c r="X185" s="462"/>
      <c r="Y185" s="461"/>
      <c r="Z185" s="461"/>
      <c r="AA185" s="461"/>
      <c r="AB185" s="461"/>
      <c r="AC185" s="461"/>
      <c r="AD185" s="462"/>
    </row>
    <row r="186" spans="1:30" x14ac:dyDescent="0.2">
      <c r="A186" s="485"/>
      <c r="B186" s="461"/>
      <c r="C186" s="462"/>
      <c r="D186" s="462"/>
      <c r="E186" s="462"/>
      <c r="F186" s="462"/>
      <c r="G186" s="462"/>
      <c r="H186" s="462"/>
      <c r="I186" s="462"/>
      <c r="J186" s="462"/>
      <c r="K186" s="461"/>
      <c r="L186" s="462"/>
      <c r="M186" s="462"/>
      <c r="N186" s="462"/>
      <c r="O186" s="462"/>
      <c r="P186" s="462"/>
      <c r="Q186" s="461"/>
      <c r="R186" s="462"/>
      <c r="S186" s="461"/>
      <c r="T186" s="462"/>
      <c r="U186" s="461"/>
      <c r="V186" s="462"/>
      <c r="W186" s="461"/>
      <c r="X186" s="462"/>
      <c r="Y186" s="461"/>
      <c r="Z186" s="461"/>
      <c r="AA186" s="461"/>
      <c r="AB186" s="461"/>
      <c r="AC186" s="461"/>
      <c r="AD186" s="462"/>
    </row>
    <row r="187" spans="1:30" x14ac:dyDescent="0.2">
      <c r="D187" s="462"/>
      <c r="E187" s="462"/>
      <c r="F187" s="462"/>
      <c r="G187" s="462"/>
      <c r="H187" s="462"/>
      <c r="I187" s="462"/>
      <c r="J187" s="462"/>
      <c r="K187" s="461"/>
      <c r="L187" s="462"/>
      <c r="M187" s="462"/>
      <c r="N187" s="462"/>
      <c r="O187" s="462"/>
      <c r="P187" s="462"/>
      <c r="Q187" s="461"/>
      <c r="R187" s="462"/>
      <c r="S187" s="461"/>
      <c r="T187" s="462"/>
      <c r="U187" s="461"/>
      <c r="V187" s="462"/>
      <c r="W187" s="461"/>
      <c r="X187" s="462"/>
      <c r="Y187" s="461"/>
      <c r="Z187" s="461"/>
      <c r="AA187" s="461"/>
      <c r="AB187" s="461"/>
      <c r="AC187" s="461"/>
      <c r="AD187" s="462"/>
    </row>
    <row r="188" spans="1:30" x14ac:dyDescent="0.2">
      <c r="D188" s="462"/>
      <c r="E188" s="462"/>
      <c r="F188" s="462"/>
      <c r="G188" s="462"/>
      <c r="H188" s="462"/>
      <c r="I188" s="462"/>
      <c r="J188" s="462"/>
      <c r="K188" s="461"/>
      <c r="L188" s="462"/>
      <c r="M188" s="462"/>
      <c r="N188" s="462"/>
      <c r="O188" s="462"/>
      <c r="P188" s="462"/>
      <c r="Q188" s="461"/>
      <c r="R188" s="462"/>
      <c r="S188" s="461"/>
      <c r="T188" s="462"/>
      <c r="U188" s="461"/>
      <c r="V188" s="462"/>
      <c r="W188" s="461"/>
      <c r="X188" s="462"/>
      <c r="Y188" s="461"/>
      <c r="Z188" s="461"/>
      <c r="AA188" s="461"/>
      <c r="AB188" s="461"/>
      <c r="AC188" s="461"/>
      <c r="AD188" s="462"/>
    </row>
    <row r="189" spans="1:30" x14ac:dyDescent="0.2">
      <c r="D189" s="462"/>
      <c r="E189" s="462"/>
      <c r="F189" s="462"/>
      <c r="G189" s="462"/>
      <c r="H189" s="462"/>
      <c r="I189" s="462"/>
      <c r="J189" s="462"/>
      <c r="K189" s="461"/>
      <c r="L189" s="462"/>
      <c r="M189" s="462"/>
      <c r="N189" s="462"/>
      <c r="O189" s="462"/>
      <c r="P189" s="462"/>
      <c r="Q189" s="461"/>
      <c r="R189" s="462"/>
      <c r="S189" s="461"/>
      <c r="T189" s="462"/>
      <c r="U189" s="461"/>
      <c r="V189" s="462"/>
      <c r="W189" s="461"/>
      <c r="X189" s="462"/>
      <c r="Y189" s="461"/>
      <c r="Z189" s="461"/>
      <c r="AA189" s="461"/>
      <c r="AB189" s="461"/>
      <c r="AC189" s="461"/>
      <c r="AD189" s="462"/>
    </row>
    <row r="190" spans="1:30" x14ac:dyDescent="0.2">
      <c r="D190" s="462"/>
      <c r="E190" s="462"/>
      <c r="F190" s="462"/>
      <c r="G190" s="462"/>
      <c r="H190" s="462"/>
      <c r="I190" s="462"/>
      <c r="J190" s="462"/>
      <c r="K190" s="461"/>
      <c r="L190" s="462"/>
      <c r="M190" s="462"/>
      <c r="N190" s="462"/>
      <c r="O190" s="462"/>
      <c r="P190" s="462"/>
      <c r="Q190" s="461"/>
      <c r="R190" s="462"/>
      <c r="S190" s="461"/>
      <c r="T190" s="462"/>
      <c r="U190" s="461"/>
      <c r="V190" s="462"/>
      <c r="W190" s="461"/>
      <c r="X190" s="462"/>
      <c r="Y190" s="461"/>
      <c r="Z190" s="461"/>
      <c r="AA190" s="461"/>
      <c r="AB190" s="461"/>
      <c r="AC190" s="461"/>
      <c r="AD190" s="462"/>
    </row>
    <row r="191" spans="1:30" x14ac:dyDescent="0.2">
      <c r="D191" s="462"/>
      <c r="E191" s="462"/>
      <c r="F191" s="462"/>
      <c r="G191" s="462"/>
      <c r="H191" s="462"/>
      <c r="I191" s="462"/>
      <c r="J191" s="462"/>
      <c r="K191" s="461"/>
      <c r="L191" s="462"/>
      <c r="M191" s="462"/>
      <c r="N191" s="462"/>
      <c r="O191" s="462"/>
      <c r="P191" s="462"/>
      <c r="Q191" s="461"/>
      <c r="R191" s="462"/>
      <c r="S191" s="461"/>
      <c r="T191" s="462"/>
      <c r="U191" s="461"/>
      <c r="V191" s="462"/>
      <c r="W191" s="461"/>
      <c r="X191" s="462"/>
      <c r="Y191" s="461"/>
      <c r="Z191" s="461"/>
      <c r="AA191" s="461"/>
      <c r="AB191" s="461"/>
      <c r="AC191" s="461"/>
      <c r="AD191" s="462"/>
    </row>
    <row r="192" spans="1:30" x14ac:dyDescent="0.2">
      <c r="D192" s="462"/>
      <c r="E192" s="462"/>
      <c r="F192" s="462"/>
      <c r="G192" s="462"/>
      <c r="H192" s="462"/>
      <c r="I192" s="462"/>
      <c r="J192" s="462"/>
      <c r="K192" s="461"/>
      <c r="L192" s="462"/>
      <c r="M192" s="462"/>
      <c r="N192" s="462"/>
      <c r="O192" s="462"/>
      <c r="P192" s="462"/>
      <c r="Q192" s="461"/>
      <c r="R192" s="462"/>
      <c r="S192" s="461"/>
      <c r="T192" s="462"/>
      <c r="U192" s="461"/>
      <c r="V192" s="462"/>
      <c r="W192" s="461"/>
      <c r="X192" s="462"/>
      <c r="Y192" s="461"/>
      <c r="Z192" s="461"/>
      <c r="AA192" s="461"/>
      <c r="AB192" s="461"/>
      <c r="AC192" s="461"/>
      <c r="AD192" s="462"/>
    </row>
    <row r="193" spans="4:30" x14ac:dyDescent="0.2">
      <c r="D193" s="462"/>
      <c r="E193" s="462"/>
      <c r="F193" s="462"/>
      <c r="G193" s="462"/>
      <c r="H193" s="462"/>
      <c r="I193" s="462"/>
      <c r="J193" s="462"/>
      <c r="K193" s="461"/>
      <c r="L193" s="462"/>
      <c r="M193" s="462"/>
      <c r="N193" s="462"/>
      <c r="O193" s="462"/>
      <c r="P193" s="462"/>
      <c r="Q193" s="461"/>
      <c r="R193" s="462"/>
      <c r="S193" s="461"/>
      <c r="T193" s="462"/>
      <c r="U193" s="461"/>
      <c r="V193" s="462"/>
      <c r="W193" s="461"/>
      <c r="X193" s="462"/>
      <c r="Y193" s="461"/>
      <c r="Z193" s="461"/>
      <c r="AA193" s="461"/>
      <c r="AB193" s="461"/>
      <c r="AC193" s="461"/>
      <c r="AD193" s="462"/>
    </row>
    <row r="194" spans="4:30" x14ac:dyDescent="0.2">
      <c r="D194" s="462"/>
      <c r="E194" s="462"/>
      <c r="F194" s="462"/>
      <c r="G194" s="462"/>
      <c r="H194" s="462"/>
      <c r="I194" s="462"/>
      <c r="J194" s="462"/>
      <c r="K194" s="461"/>
      <c r="L194" s="462"/>
      <c r="M194" s="462"/>
      <c r="N194" s="462"/>
      <c r="O194" s="462"/>
      <c r="P194" s="462"/>
      <c r="Q194" s="461"/>
      <c r="R194" s="462"/>
      <c r="S194" s="461"/>
      <c r="T194" s="462"/>
      <c r="U194" s="461"/>
      <c r="V194" s="462"/>
      <c r="W194" s="461"/>
      <c r="X194" s="462"/>
      <c r="Y194" s="461"/>
      <c r="Z194" s="461"/>
      <c r="AA194" s="461"/>
      <c r="AB194" s="461"/>
      <c r="AC194" s="461"/>
      <c r="AD194" s="462"/>
    </row>
    <row r="195" spans="4:30" x14ac:dyDescent="0.2">
      <c r="D195" s="462"/>
      <c r="E195" s="462"/>
      <c r="F195" s="462"/>
      <c r="G195" s="462"/>
      <c r="H195" s="462"/>
      <c r="I195" s="462"/>
      <c r="J195" s="462"/>
      <c r="K195" s="461"/>
      <c r="L195" s="462"/>
      <c r="M195" s="462"/>
      <c r="N195" s="462"/>
      <c r="O195" s="462"/>
      <c r="P195" s="462"/>
      <c r="Q195" s="461"/>
      <c r="R195" s="462"/>
      <c r="S195" s="461"/>
      <c r="T195" s="462"/>
      <c r="U195" s="461"/>
      <c r="V195" s="462"/>
      <c r="W195" s="461"/>
      <c r="X195" s="462"/>
      <c r="Y195" s="461"/>
      <c r="Z195" s="461"/>
      <c r="AA195" s="461"/>
      <c r="AB195" s="461"/>
      <c r="AC195" s="461"/>
      <c r="AD195" s="462"/>
    </row>
    <row r="196" spans="4:30" x14ac:dyDescent="0.2">
      <c r="D196" s="462"/>
      <c r="E196" s="462"/>
      <c r="F196" s="462"/>
      <c r="G196" s="462"/>
      <c r="H196" s="462"/>
      <c r="I196" s="462"/>
      <c r="J196" s="462"/>
      <c r="K196" s="461"/>
      <c r="L196" s="462"/>
      <c r="M196" s="462"/>
      <c r="N196" s="462"/>
      <c r="O196" s="462"/>
      <c r="P196" s="462"/>
      <c r="Q196" s="461"/>
      <c r="R196" s="462"/>
      <c r="S196" s="461"/>
      <c r="T196" s="462"/>
      <c r="U196" s="461"/>
      <c r="V196" s="462"/>
      <c r="W196" s="461"/>
      <c r="X196" s="462"/>
      <c r="Y196" s="461"/>
      <c r="Z196" s="461"/>
      <c r="AA196" s="461"/>
      <c r="AB196" s="461"/>
      <c r="AC196" s="461"/>
      <c r="AD196" s="462"/>
    </row>
    <row r="197" spans="4:30" x14ac:dyDescent="0.2">
      <c r="D197" s="462"/>
      <c r="E197" s="462"/>
      <c r="F197" s="462"/>
      <c r="G197" s="462"/>
      <c r="H197" s="462"/>
      <c r="I197" s="462"/>
      <c r="J197" s="462"/>
      <c r="K197" s="461"/>
      <c r="L197" s="462"/>
      <c r="M197" s="462"/>
      <c r="N197" s="462"/>
      <c r="O197" s="462"/>
      <c r="P197" s="462"/>
      <c r="Q197" s="461"/>
      <c r="R197" s="462"/>
      <c r="S197" s="461"/>
      <c r="T197" s="462"/>
      <c r="U197" s="461"/>
      <c r="V197" s="462"/>
      <c r="W197" s="461"/>
      <c r="X197" s="462"/>
      <c r="Y197" s="461"/>
      <c r="Z197" s="461"/>
      <c r="AA197" s="461"/>
      <c r="AB197" s="461"/>
      <c r="AC197" s="461"/>
      <c r="AD197" s="462"/>
    </row>
    <row r="198" spans="4:30" x14ac:dyDescent="0.2">
      <c r="D198" s="462"/>
      <c r="E198" s="462"/>
      <c r="F198" s="462"/>
      <c r="G198" s="462"/>
      <c r="H198" s="462"/>
      <c r="I198" s="462"/>
      <c r="J198" s="462"/>
      <c r="K198" s="461"/>
      <c r="L198" s="462"/>
      <c r="M198" s="462"/>
      <c r="N198" s="462"/>
      <c r="O198" s="462"/>
      <c r="P198" s="462"/>
      <c r="Q198" s="461"/>
      <c r="R198" s="462"/>
      <c r="S198" s="461"/>
      <c r="T198" s="462"/>
      <c r="U198" s="461"/>
      <c r="V198" s="462"/>
      <c r="W198" s="461"/>
      <c r="X198" s="462"/>
      <c r="Y198" s="461"/>
      <c r="Z198" s="461"/>
      <c r="AA198" s="461"/>
      <c r="AB198" s="461"/>
      <c r="AC198" s="461"/>
      <c r="AD198" s="462"/>
    </row>
    <row r="199" spans="4:30" x14ac:dyDescent="0.2">
      <c r="D199" s="462"/>
      <c r="E199" s="462"/>
      <c r="F199" s="462"/>
      <c r="G199" s="462"/>
      <c r="H199" s="462"/>
      <c r="I199" s="462"/>
      <c r="J199" s="462"/>
      <c r="K199" s="461"/>
      <c r="L199" s="462"/>
      <c r="M199" s="462"/>
      <c r="N199" s="462"/>
      <c r="O199" s="462"/>
      <c r="P199" s="462"/>
      <c r="Q199" s="461"/>
      <c r="R199" s="462"/>
      <c r="S199" s="461"/>
      <c r="T199" s="462"/>
      <c r="U199" s="461"/>
      <c r="V199" s="462"/>
      <c r="W199" s="461"/>
      <c r="X199" s="462"/>
      <c r="Y199" s="461"/>
      <c r="Z199" s="461"/>
      <c r="AA199" s="461"/>
      <c r="AB199" s="461"/>
      <c r="AC199" s="461"/>
      <c r="AD199" s="462"/>
    </row>
    <row r="200" spans="4:30" x14ac:dyDescent="0.2">
      <c r="D200" s="462"/>
      <c r="E200" s="462"/>
      <c r="F200" s="462"/>
      <c r="G200" s="462"/>
      <c r="H200" s="462"/>
      <c r="I200" s="462"/>
      <c r="J200" s="462"/>
      <c r="K200" s="461"/>
      <c r="R200" s="462"/>
      <c r="S200" s="461"/>
      <c r="T200" s="462"/>
      <c r="U200" s="461"/>
      <c r="V200" s="462"/>
      <c r="W200" s="461"/>
      <c r="X200" s="462"/>
      <c r="Y200" s="461"/>
      <c r="Z200" s="461"/>
      <c r="AA200" s="461"/>
      <c r="AB200" s="461"/>
      <c r="AC200" s="461"/>
      <c r="AD200" s="462"/>
    </row>
    <row r="201" spans="4:30" x14ac:dyDescent="0.2">
      <c r="D201" s="462"/>
      <c r="E201" s="462"/>
      <c r="F201" s="462"/>
      <c r="G201" s="462"/>
      <c r="H201" s="462"/>
      <c r="I201" s="462"/>
      <c r="J201" s="462"/>
      <c r="K201" s="461"/>
      <c r="R201" s="462"/>
      <c r="S201" s="461"/>
      <c r="T201" s="462"/>
      <c r="U201" s="461"/>
      <c r="V201" s="462"/>
      <c r="W201" s="461"/>
      <c r="X201" s="462"/>
      <c r="Y201" s="461"/>
      <c r="Z201" s="461"/>
      <c r="AA201" s="461"/>
      <c r="AB201" s="461"/>
      <c r="AC201" s="461"/>
      <c r="AD201" s="462"/>
    </row>
    <row r="202" spans="4:30" x14ac:dyDescent="0.2">
      <c r="D202" s="462"/>
      <c r="E202" s="462"/>
      <c r="F202" s="462"/>
      <c r="G202" s="462"/>
      <c r="H202" s="462"/>
      <c r="I202" s="462"/>
      <c r="J202" s="462"/>
      <c r="K202" s="461"/>
      <c r="R202" s="462"/>
      <c r="S202" s="461"/>
      <c r="T202" s="462"/>
      <c r="U202" s="461"/>
      <c r="V202" s="462"/>
      <c r="W202" s="461"/>
      <c r="X202" s="462"/>
      <c r="Y202" s="461"/>
      <c r="Z202" s="461"/>
      <c r="AA202" s="461"/>
      <c r="AB202" s="461"/>
      <c r="AC202" s="461"/>
      <c r="AD202" s="462"/>
    </row>
    <row r="203" spans="4:30" x14ac:dyDescent="0.2">
      <c r="D203" s="462"/>
      <c r="E203" s="462"/>
      <c r="F203" s="462"/>
      <c r="G203" s="462"/>
      <c r="H203" s="462"/>
      <c r="I203" s="462"/>
      <c r="J203" s="462"/>
      <c r="K203" s="461"/>
      <c r="R203" s="462"/>
      <c r="S203" s="461"/>
      <c r="T203" s="462"/>
      <c r="U203" s="461"/>
      <c r="V203" s="462"/>
      <c r="W203" s="461"/>
      <c r="X203" s="462"/>
      <c r="Y203" s="461"/>
      <c r="Z203" s="461"/>
      <c r="AA203" s="461"/>
      <c r="AB203" s="461"/>
      <c r="AC203" s="461"/>
      <c r="AD203" s="462"/>
    </row>
  </sheetData>
  <mergeCells count="6">
    <mergeCell ref="AF6:AP6"/>
    <mergeCell ref="A4:AD4"/>
    <mergeCell ref="A5:AD5"/>
    <mergeCell ref="E6:J6"/>
    <mergeCell ref="L6:T6"/>
    <mergeCell ref="V6:AD6"/>
  </mergeCells>
  <conditionalFormatting sqref="B8:B61 A8:A63 C8:AD63">
    <cfRule type="expression" dxfId="1" priority="2">
      <formula>MOD(ROW(),2)=1</formula>
    </cfRule>
  </conditionalFormatting>
  <conditionalFormatting sqref="C64:Z65">
    <cfRule type="expression" dxfId="0" priority="1">
      <formula>MOD(ROW(),2)=1</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S79"/>
  <sheetViews>
    <sheetView workbookViewId="0">
      <pane xSplit="2" ySplit="8" topLeftCell="C9" activePane="bottomRight" state="frozenSplit"/>
      <selection pane="topRight" activeCell="C1" sqref="C1"/>
      <selection pane="bottomLeft" activeCell="A8" sqref="A8"/>
      <selection pane="bottomRight" activeCell="F46" sqref="F46"/>
    </sheetView>
  </sheetViews>
  <sheetFormatPr defaultColWidth="8.88671875" defaultRowHeight="15" x14ac:dyDescent="0.2"/>
  <cols>
    <col min="1" max="1" width="18" style="34" customWidth="1"/>
    <col min="2" max="2" width="23" style="34" customWidth="1"/>
    <col min="3" max="3" width="1.88671875" style="34" customWidth="1"/>
    <col min="4" max="4" width="13.33203125" style="34" customWidth="1"/>
    <col min="5" max="5" width="1.88671875" style="34" customWidth="1"/>
    <col min="6" max="7" width="11.5546875" style="34" customWidth="1"/>
    <col min="8" max="8" width="2" style="34" customWidth="1"/>
    <col min="9" max="9" width="13.21875" style="34" customWidth="1"/>
    <col min="10" max="10" width="1.77734375" style="34" customWidth="1"/>
    <col min="11" max="11" width="12.44140625" style="34" customWidth="1"/>
    <col min="12" max="12" width="12.5546875" style="34" customWidth="1"/>
    <col min="13" max="13" width="1.5546875" style="34" customWidth="1"/>
    <col min="14" max="14" width="9.5546875" style="34" bestFit="1" customWidth="1"/>
    <col min="15" max="15" width="8.77734375" style="34" bestFit="1" customWidth="1"/>
    <col min="16" max="16" width="10" style="34" bestFit="1" customWidth="1"/>
    <col min="17" max="17" width="1.109375" style="34" customWidth="1"/>
    <col min="18" max="18" width="3.77734375" style="34" customWidth="1"/>
    <col min="19" max="19" width="8.77734375" style="34" bestFit="1" customWidth="1"/>
    <col min="20" max="16384" width="8.88671875" style="34"/>
  </cols>
  <sheetData>
    <row r="1" spans="1:19" ht="30.75" thickBot="1" x14ac:dyDescent="0.45">
      <c r="N1" s="627" t="s">
        <v>171</v>
      </c>
      <c r="O1" s="628"/>
      <c r="P1" s="628"/>
      <c r="Q1" s="628"/>
      <c r="R1" s="628"/>
      <c r="S1" s="629"/>
    </row>
    <row r="2" spans="1:19" ht="19.5" customHeight="1" x14ac:dyDescent="0.4">
      <c r="A2" s="34" t="s">
        <v>388</v>
      </c>
      <c r="N2" s="57"/>
      <c r="O2" s="57"/>
      <c r="P2" s="57"/>
      <c r="Q2" s="57"/>
      <c r="R2" s="57"/>
      <c r="S2" s="57"/>
    </row>
    <row r="3" spans="1:19" x14ac:dyDescent="0.2">
      <c r="A3" s="34" t="s">
        <v>361</v>
      </c>
    </row>
    <row r="4" spans="1:19" ht="18" x14ac:dyDescent="0.25">
      <c r="A4" s="21" t="s">
        <v>16</v>
      </c>
    </row>
    <row r="5" spans="1:19" ht="18.75" thickBot="1" x14ac:dyDescent="0.3">
      <c r="A5" s="21" t="str">
        <f>'OPEB Contr Input - LEA'!A5</f>
        <v>Password for protected sheet: BOE2025</v>
      </c>
    </row>
    <row r="6" spans="1:19" s="54" customFormat="1" ht="15" customHeight="1" thickBot="1" x14ac:dyDescent="0.25">
      <c r="A6" s="58"/>
      <c r="B6" s="58"/>
      <c r="C6" s="58"/>
      <c r="D6" s="623" t="str">
        <f>'OPEB Contr Input - RESA'!D6</f>
        <v>FY2024</v>
      </c>
      <c r="E6" s="624"/>
      <c r="F6" s="624"/>
      <c r="G6" s="625"/>
      <c r="H6" s="58"/>
      <c r="I6" s="623" t="str">
        <f>'OPEB Contr Input - RESA'!I6</f>
        <v>FY2025</v>
      </c>
      <c r="J6" s="624"/>
      <c r="K6" s="624"/>
      <c r="L6" s="625"/>
      <c r="M6" s="58"/>
      <c r="N6" s="58"/>
      <c r="O6" s="58"/>
      <c r="P6" s="58"/>
      <c r="Q6" s="58"/>
      <c r="R6" s="58"/>
      <c r="S6" s="61"/>
    </row>
    <row r="7" spans="1:19" s="54" customFormat="1" ht="12.75" x14ac:dyDescent="0.2">
      <c r="A7" s="59" t="s">
        <v>20</v>
      </c>
      <c r="B7" s="59" t="s">
        <v>21</v>
      </c>
      <c r="C7" s="58"/>
      <c r="D7" s="62" t="s">
        <v>387</v>
      </c>
      <c r="E7" s="58"/>
      <c r="F7" s="62" t="s">
        <v>303</v>
      </c>
      <c r="G7" s="62" t="s">
        <v>5</v>
      </c>
      <c r="H7" s="62"/>
      <c r="I7" s="62" t="s">
        <v>387</v>
      </c>
      <c r="J7" s="62"/>
      <c r="K7" s="62" t="s">
        <v>303</v>
      </c>
      <c r="L7" s="62" t="s">
        <v>5</v>
      </c>
      <c r="M7" s="58"/>
      <c r="N7" s="58"/>
      <c r="S7" s="61"/>
    </row>
    <row r="8" spans="1:19" s="54" customFormat="1" ht="12.75" x14ac:dyDescent="0.2"/>
    <row r="9" spans="1:19" s="54" customFormat="1" ht="12.75" x14ac:dyDescent="0.2">
      <c r="A9" s="55" t="s">
        <v>523</v>
      </c>
      <c r="B9" s="54" t="s">
        <v>22</v>
      </c>
      <c r="C9" s="55"/>
      <c r="D9" s="364">
        <v>0</v>
      </c>
      <c r="E9" s="56"/>
      <c r="F9" s="364">
        <v>0</v>
      </c>
      <c r="G9" s="56">
        <f>D9+F9</f>
        <v>0</v>
      </c>
      <c r="H9" s="56"/>
      <c r="I9" s="364">
        <v>0</v>
      </c>
      <c r="J9" s="56"/>
      <c r="K9" s="364">
        <v>0</v>
      </c>
      <c r="L9" s="56">
        <f t="shared" ref="L9:L26" si="0">I9+K9</f>
        <v>0</v>
      </c>
      <c r="S9" s="194"/>
    </row>
    <row r="10" spans="1:19" s="54" customFormat="1" ht="12.75" x14ac:dyDescent="0.2">
      <c r="A10" s="54" t="s">
        <v>524</v>
      </c>
      <c r="B10" s="54" t="s">
        <v>23</v>
      </c>
      <c r="D10" s="364">
        <v>0</v>
      </c>
      <c r="E10" s="56"/>
      <c r="F10" s="364">
        <v>0</v>
      </c>
      <c r="G10" s="56">
        <f t="shared" ref="G10:G26" si="1">D10+F10</f>
        <v>0</v>
      </c>
      <c r="H10" s="56"/>
      <c r="I10" s="364">
        <v>0</v>
      </c>
      <c r="J10" s="56"/>
      <c r="K10" s="364">
        <v>0</v>
      </c>
      <c r="L10" s="56">
        <f t="shared" si="0"/>
        <v>0</v>
      </c>
      <c r="S10" s="194"/>
    </row>
    <row r="11" spans="1:19" s="54" customFormat="1" ht="12.75" x14ac:dyDescent="0.2">
      <c r="A11" s="54" t="s">
        <v>525</v>
      </c>
      <c r="B11" s="54" t="s">
        <v>24</v>
      </c>
      <c r="D11" s="364">
        <v>0</v>
      </c>
      <c r="E11" s="56"/>
      <c r="F11" s="364">
        <v>0</v>
      </c>
      <c r="G11" s="56">
        <f t="shared" si="1"/>
        <v>0</v>
      </c>
      <c r="H11" s="56"/>
      <c r="I11" s="364">
        <v>0</v>
      </c>
      <c r="J11" s="56"/>
      <c r="K11" s="364">
        <v>0</v>
      </c>
      <c r="L11" s="56">
        <f t="shared" si="0"/>
        <v>0</v>
      </c>
      <c r="S11" s="194"/>
    </row>
    <row r="12" spans="1:19" s="54" customFormat="1" ht="12.75" x14ac:dyDescent="0.2">
      <c r="A12" s="55" t="s">
        <v>526</v>
      </c>
      <c r="B12" s="54" t="s">
        <v>25</v>
      </c>
      <c r="C12" s="55"/>
      <c r="D12" s="364">
        <v>0</v>
      </c>
      <c r="E12" s="56"/>
      <c r="F12" s="364">
        <v>0</v>
      </c>
      <c r="G12" s="56">
        <f t="shared" si="1"/>
        <v>0</v>
      </c>
      <c r="H12" s="56"/>
      <c r="I12" s="364">
        <v>0</v>
      </c>
      <c r="J12" s="56"/>
      <c r="K12" s="364">
        <v>0</v>
      </c>
      <c r="L12" s="56">
        <f t="shared" si="0"/>
        <v>0</v>
      </c>
      <c r="S12" s="194"/>
    </row>
    <row r="13" spans="1:19" s="54" customFormat="1" ht="12.75" x14ac:dyDescent="0.2">
      <c r="A13" s="54" t="s">
        <v>527</v>
      </c>
      <c r="B13" s="54" t="s">
        <v>26</v>
      </c>
      <c r="D13" s="364">
        <v>0</v>
      </c>
      <c r="E13" s="56"/>
      <c r="F13" s="364">
        <v>0</v>
      </c>
      <c r="G13" s="56">
        <f t="shared" si="1"/>
        <v>0</v>
      </c>
      <c r="H13" s="56"/>
      <c r="I13" s="364">
        <v>0</v>
      </c>
      <c r="J13" s="56"/>
      <c r="K13" s="364">
        <v>0</v>
      </c>
      <c r="L13" s="56">
        <f t="shared" si="0"/>
        <v>0</v>
      </c>
      <c r="S13" s="194"/>
    </row>
    <row r="14" spans="1:19" s="54" customFormat="1" ht="12.75" x14ac:dyDescent="0.2">
      <c r="A14" s="54" t="s">
        <v>528</v>
      </c>
      <c r="B14" s="54" t="s">
        <v>27</v>
      </c>
      <c r="D14" s="364">
        <v>0</v>
      </c>
      <c r="E14" s="56"/>
      <c r="F14" s="364">
        <v>0</v>
      </c>
      <c r="G14" s="56">
        <f t="shared" si="1"/>
        <v>0</v>
      </c>
      <c r="H14" s="56"/>
      <c r="I14" s="364">
        <v>0</v>
      </c>
      <c r="J14" s="56"/>
      <c r="K14" s="364">
        <v>0</v>
      </c>
      <c r="L14" s="56">
        <f t="shared" si="0"/>
        <v>0</v>
      </c>
      <c r="S14" s="194"/>
    </row>
    <row r="15" spans="1:19" s="54" customFormat="1" ht="12.75" x14ac:dyDescent="0.2">
      <c r="A15" s="54" t="s">
        <v>529</v>
      </c>
      <c r="B15" s="54" t="s">
        <v>28</v>
      </c>
      <c r="D15" s="364">
        <v>0</v>
      </c>
      <c r="E15" s="56"/>
      <c r="F15" s="364">
        <v>0</v>
      </c>
      <c r="G15" s="56">
        <f t="shared" si="1"/>
        <v>0</v>
      </c>
      <c r="H15" s="56"/>
      <c r="I15" s="364">
        <v>0</v>
      </c>
      <c r="J15" s="56"/>
      <c r="K15" s="364">
        <v>0</v>
      </c>
      <c r="L15" s="56">
        <f t="shared" si="0"/>
        <v>0</v>
      </c>
      <c r="S15" s="194"/>
    </row>
    <row r="16" spans="1:19" s="54" customFormat="1" ht="12.75" x14ac:dyDescent="0.2">
      <c r="A16" s="54" t="s">
        <v>530</v>
      </c>
      <c r="B16" s="54" t="s">
        <v>29</v>
      </c>
      <c r="D16" s="364">
        <v>0</v>
      </c>
      <c r="E16" s="56"/>
      <c r="F16" s="364">
        <v>0</v>
      </c>
      <c r="G16" s="56">
        <f t="shared" si="1"/>
        <v>0</v>
      </c>
      <c r="H16" s="56"/>
      <c r="I16" s="364">
        <v>0</v>
      </c>
      <c r="J16" s="56"/>
      <c r="K16" s="364">
        <v>0</v>
      </c>
      <c r="L16" s="56">
        <f t="shared" si="0"/>
        <v>0</v>
      </c>
      <c r="S16" s="194"/>
    </row>
    <row r="17" spans="1:19" s="54" customFormat="1" ht="12.75" x14ac:dyDescent="0.2">
      <c r="A17" s="54" t="s">
        <v>531</v>
      </c>
      <c r="B17" s="54" t="s">
        <v>30</v>
      </c>
      <c r="D17" s="364">
        <v>0</v>
      </c>
      <c r="E17" s="56"/>
      <c r="F17" s="364">
        <v>0</v>
      </c>
      <c r="G17" s="56">
        <f t="shared" si="1"/>
        <v>0</v>
      </c>
      <c r="H17" s="56"/>
      <c r="I17" s="364">
        <v>0</v>
      </c>
      <c r="J17" s="56"/>
      <c r="K17" s="364">
        <v>0</v>
      </c>
      <c r="L17" s="56">
        <f t="shared" si="0"/>
        <v>0</v>
      </c>
      <c r="S17" s="194"/>
    </row>
    <row r="18" spans="1:19" s="54" customFormat="1" ht="12.75" x14ac:dyDescent="0.2">
      <c r="A18" s="54" t="s">
        <v>532</v>
      </c>
      <c r="B18" s="54" t="s">
        <v>31</v>
      </c>
      <c r="D18" s="364">
        <v>0</v>
      </c>
      <c r="E18" s="56"/>
      <c r="F18" s="364">
        <v>0</v>
      </c>
      <c r="G18" s="56">
        <f t="shared" si="1"/>
        <v>0</v>
      </c>
      <c r="H18" s="56"/>
      <c r="I18" s="364">
        <v>0</v>
      </c>
      <c r="J18" s="56"/>
      <c r="K18" s="364">
        <v>0</v>
      </c>
      <c r="L18" s="56">
        <f t="shared" si="0"/>
        <v>0</v>
      </c>
      <c r="S18" s="194"/>
    </row>
    <row r="19" spans="1:19" s="54" customFormat="1" ht="12.75" x14ac:dyDescent="0.2">
      <c r="A19" s="54" t="s">
        <v>533</v>
      </c>
      <c r="B19" s="54" t="s">
        <v>32</v>
      </c>
      <c r="D19" s="364">
        <v>0</v>
      </c>
      <c r="E19" s="56"/>
      <c r="F19" s="364">
        <v>0</v>
      </c>
      <c r="G19" s="56">
        <f t="shared" si="1"/>
        <v>0</v>
      </c>
      <c r="H19" s="56"/>
      <c r="I19" s="364">
        <v>0</v>
      </c>
      <c r="J19" s="56"/>
      <c r="K19" s="364">
        <v>0</v>
      </c>
      <c r="L19" s="56">
        <f t="shared" si="0"/>
        <v>0</v>
      </c>
      <c r="S19" s="194"/>
    </row>
    <row r="20" spans="1:19" s="54" customFormat="1" ht="12.75" x14ac:dyDescent="0.2">
      <c r="A20" s="54" t="s">
        <v>534</v>
      </c>
      <c r="B20" s="54" t="s">
        <v>33</v>
      </c>
      <c r="D20" s="364">
        <v>0</v>
      </c>
      <c r="E20" s="56"/>
      <c r="F20" s="364">
        <v>0</v>
      </c>
      <c r="G20" s="56">
        <f t="shared" si="1"/>
        <v>0</v>
      </c>
      <c r="H20" s="56"/>
      <c r="I20" s="364">
        <v>0</v>
      </c>
      <c r="J20" s="56"/>
      <c r="K20" s="364">
        <v>0</v>
      </c>
      <c r="L20" s="56">
        <f t="shared" si="0"/>
        <v>0</v>
      </c>
      <c r="S20" s="194"/>
    </row>
    <row r="21" spans="1:19" s="54" customFormat="1" ht="12.75" x14ac:dyDescent="0.2">
      <c r="A21" s="54" t="s">
        <v>535</v>
      </c>
      <c r="B21" s="54" t="s">
        <v>34</v>
      </c>
      <c r="D21" s="364">
        <v>0</v>
      </c>
      <c r="E21" s="56"/>
      <c r="F21" s="364">
        <v>0</v>
      </c>
      <c r="G21" s="56">
        <f t="shared" si="1"/>
        <v>0</v>
      </c>
      <c r="H21" s="56"/>
      <c r="I21" s="364">
        <v>0</v>
      </c>
      <c r="J21" s="56"/>
      <c r="K21" s="364">
        <v>0</v>
      </c>
      <c r="L21" s="56">
        <f t="shared" si="0"/>
        <v>0</v>
      </c>
      <c r="S21" s="194"/>
    </row>
    <row r="22" spans="1:19" s="54" customFormat="1" ht="12.75" x14ac:dyDescent="0.2">
      <c r="A22" s="54" t="s">
        <v>536</v>
      </c>
      <c r="B22" s="54" t="s">
        <v>35</v>
      </c>
      <c r="D22" s="364">
        <v>0</v>
      </c>
      <c r="E22" s="56"/>
      <c r="F22" s="364">
        <v>0</v>
      </c>
      <c r="G22" s="56">
        <f t="shared" si="1"/>
        <v>0</v>
      </c>
      <c r="H22" s="56"/>
      <c r="I22" s="364">
        <v>0</v>
      </c>
      <c r="J22" s="56"/>
      <c r="K22" s="364">
        <v>0</v>
      </c>
      <c r="L22" s="56">
        <f t="shared" si="0"/>
        <v>0</v>
      </c>
      <c r="S22" s="194"/>
    </row>
    <row r="23" spans="1:19" s="54" customFormat="1" ht="12.75" x14ac:dyDescent="0.2">
      <c r="A23" s="54" t="s">
        <v>537</v>
      </c>
      <c r="B23" s="54" t="s">
        <v>36</v>
      </c>
      <c r="D23" s="364">
        <v>0</v>
      </c>
      <c r="E23" s="56"/>
      <c r="F23" s="364">
        <v>0</v>
      </c>
      <c r="G23" s="56">
        <f t="shared" si="1"/>
        <v>0</v>
      </c>
      <c r="H23" s="56"/>
      <c r="I23" s="364">
        <v>0</v>
      </c>
      <c r="J23" s="56"/>
      <c r="K23" s="364">
        <v>0</v>
      </c>
      <c r="L23" s="56">
        <f t="shared" si="0"/>
        <v>0</v>
      </c>
      <c r="S23" s="194"/>
    </row>
    <row r="24" spans="1:19" s="54" customFormat="1" ht="12.75" x14ac:dyDescent="0.2">
      <c r="A24" s="54" t="s">
        <v>538</v>
      </c>
      <c r="B24" s="54" t="s">
        <v>37</v>
      </c>
      <c r="D24" s="364">
        <v>0</v>
      </c>
      <c r="E24" s="56"/>
      <c r="F24" s="364">
        <v>0</v>
      </c>
      <c r="G24" s="56">
        <f t="shared" si="1"/>
        <v>0</v>
      </c>
      <c r="H24" s="56"/>
      <c r="I24" s="364">
        <v>0</v>
      </c>
      <c r="J24" s="56"/>
      <c r="K24" s="364">
        <v>0</v>
      </c>
      <c r="L24" s="56">
        <f t="shared" si="0"/>
        <v>0</v>
      </c>
      <c r="S24" s="194"/>
    </row>
    <row r="25" spans="1:19" s="54" customFormat="1" ht="12.75" x14ac:dyDescent="0.2">
      <c r="A25" s="54" t="s">
        <v>539</v>
      </c>
      <c r="B25" s="54" t="s">
        <v>38</v>
      </c>
      <c r="D25" s="364">
        <v>0</v>
      </c>
      <c r="E25" s="56"/>
      <c r="F25" s="364">
        <v>0</v>
      </c>
      <c r="G25" s="56">
        <f t="shared" si="1"/>
        <v>0</v>
      </c>
      <c r="H25" s="56"/>
      <c r="I25" s="364">
        <v>0</v>
      </c>
      <c r="J25" s="56"/>
      <c r="K25" s="364">
        <v>0</v>
      </c>
      <c r="L25" s="56">
        <f t="shared" si="0"/>
        <v>0</v>
      </c>
      <c r="S25" s="194"/>
    </row>
    <row r="26" spans="1:19" s="54" customFormat="1" ht="12.75" x14ac:dyDescent="0.2">
      <c r="A26" s="54" t="s">
        <v>540</v>
      </c>
      <c r="B26" s="54" t="s">
        <v>39</v>
      </c>
      <c r="D26" s="364">
        <v>0</v>
      </c>
      <c r="E26" s="56"/>
      <c r="F26" s="364">
        <v>0</v>
      </c>
      <c r="G26" s="56">
        <f t="shared" si="1"/>
        <v>0</v>
      </c>
      <c r="H26" s="56"/>
      <c r="I26" s="364">
        <v>0</v>
      </c>
      <c r="J26" s="56"/>
      <c r="K26" s="364">
        <v>0</v>
      </c>
      <c r="L26" s="56">
        <f t="shared" si="0"/>
        <v>0</v>
      </c>
      <c r="S26" s="194"/>
    </row>
    <row r="27" spans="1:19" s="54" customFormat="1" ht="12.75" x14ac:dyDescent="0.2">
      <c r="D27" s="56"/>
      <c r="E27" s="56"/>
      <c r="F27" s="56"/>
      <c r="G27" s="56"/>
      <c r="H27" s="56"/>
      <c r="I27" s="56"/>
      <c r="J27" s="56"/>
      <c r="K27" s="56"/>
      <c r="L27" s="56"/>
      <c r="S27" s="194"/>
    </row>
    <row r="28" spans="1:19" s="54" customFormat="1" ht="12.75" x14ac:dyDescent="0.2">
      <c r="A28" s="55" t="s">
        <v>541</v>
      </c>
      <c r="B28" s="54" t="s">
        <v>22</v>
      </c>
      <c r="C28" s="55"/>
      <c r="D28" s="364">
        <v>0</v>
      </c>
      <c r="E28" s="56"/>
      <c r="F28" s="364">
        <v>0</v>
      </c>
      <c r="G28" s="56">
        <f t="shared" ref="G28:G45" si="2">D28+F28</f>
        <v>0</v>
      </c>
      <c r="H28" s="56"/>
      <c r="I28" s="364">
        <v>0</v>
      </c>
      <c r="J28" s="56"/>
      <c r="K28" s="364">
        <v>0</v>
      </c>
      <c r="L28" s="56">
        <f t="shared" ref="L28:L45" si="3">I28+K28</f>
        <v>0</v>
      </c>
      <c r="S28" s="194"/>
    </row>
    <row r="29" spans="1:19" s="54" customFormat="1" ht="12.75" x14ac:dyDescent="0.2">
      <c r="A29" s="54" t="s">
        <v>542</v>
      </c>
      <c r="B29" s="54" t="s">
        <v>23</v>
      </c>
      <c r="D29" s="364">
        <v>0</v>
      </c>
      <c r="E29" s="56"/>
      <c r="F29" s="364">
        <v>0</v>
      </c>
      <c r="G29" s="56">
        <f t="shared" si="2"/>
        <v>0</v>
      </c>
      <c r="H29" s="56"/>
      <c r="I29" s="364">
        <v>0</v>
      </c>
      <c r="J29" s="56"/>
      <c r="K29" s="364">
        <v>0</v>
      </c>
      <c r="L29" s="56">
        <f t="shared" si="3"/>
        <v>0</v>
      </c>
      <c r="S29" s="194"/>
    </row>
    <row r="30" spans="1:19" s="54" customFormat="1" ht="12.75" x14ac:dyDescent="0.2">
      <c r="A30" s="54" t="s">
        <v>543</v>
      </c>
      <c r="B30" s="54" t="s">
        <v>24</v>
      </c>
      <c r="D30" s="364">
        <v>0</v>
      </c>
      <c r="E30" s="56"/>
      <c r="F30" s="364">
        <v>0</v>
      </c>
      <c r="G30" s="56">
        <f t="shared" si="2"/>
        <v>0</v>
      </c>
      <c r="H30" s="56"/>
      <c r="I30" s="364">
        <v>0</v>
      </c>
      <c r="J30" s="56"/>
      <c r="K30" s="364">
        <v>0</v>
      </c>
      <c r="L30" s="56">
        <f t="shared" si="3"/>
        <v>0</v>
      </c>
      <c r="S30" s="194"/>
    </row>
    <row r="31" spans="1:19" s="54" customFormat="1" ht="12.75" x14ac:dyDescent="0.2">
      <c r="A31" s="55" t="s">
        <v>544</v>
      </c>
      <c r="B31" s="54" t="s">
        <v>25</v>
      </c>
      <c r="C31" s="55"/>
      <c r="D31" s="364">
        <v>0</v>
      </c>
      <c r="E31" s="56"/>
      <c r="F31" s="364">
        <v>0</v>
      </c>
      <c r="G31" s="56">
        <f t="shared" si="2"/>
        <v>0</v>
      </c>
      <c r="H31" s="56"/>
      <c r="I31" s="364">
        <v>0</v>
      </c>
      <c r="J31" s="56"/>
      <c r="K31" s="364">
        <v>0</v>
      </c>
      <c r="L31" s="56">
        <f t="shared" si="3"/>
        <v>0</v>
      </c>
      <c r="S31" s="194"/>
    </row>
    <row r="32" spans="1:19" s="54" customFormat="1" ht="12.75" x14ac:dyDescent="0.2">
      <c r="A32" s="54" t="s">
        <v>545</v>
      </c>
      <c r="B32" s="54" t="s">
        <v>26</v>
      </c>
      <c r="D32" s="364">
        <v>0</v>
      </c>
      <c r="E32" s="56"/>
      <c r="F32" s="364">
        <v>0</v>
      </c>
      <c r="G32" s="56">
        <f t="shared" si="2"/>
        <v>0</v>
      </c>
      <c r="H32" s="56"/>
      <c r="I32" s="364">
        <v>0</v>
      </c>
      <c r="J32" s="56"/>
      <c r="K32" s="364">
        <v>0</v>
      </c>
      <c r="L32" s="56">
        <f t="shared" si="3"/>
        <v>0</v>
      </c>
      <c r="S32" s="194"/>
    </row>
    <row r="33" spans="1:19" s="54" customFormat="1" ht="12.75" x14ac:dyDescent="0.2">
      <c r="A33" s="54" t="s">
        <v>546</v>
      </c>
      <c r="B33" s="54" t="s">
        <v>27</v>
      </c>
      <c r="D33" s="364">
        <v>0</v>
      </c>
      <c r="E33" s="56"/>
      <c r="F33" s="364">
        <v>0</v>
      </c>
      <c r="G33" s="56">
        <f t="shared" si="2"/>
        <v>0</v>
      </c>
      <c r="H33" s="56"/>
      <c r="I33" s="364">
        <v>0</v>
      </c>
      <c r="J33" s="56"/>
      <c r="K33" s="364">
        <v>0</v>
      </c>
      <c r="L33" s="56">
        <f t="shared" si="3"/>
        <v>0</v>
      </c>
      <c r="S33" s="194"/>
    </row>
    <row r="34" spans="1:19" s="54" customFormat="1" ht="12.75" x14ac:dyDescent="0.2">
      <c r="A34" s="54" t="s">
        <v>547</v>
      </c>
      <c r="B34" s="54" t="s">
        <v>28</v>
      </c>
      <c r="D34" s="364">
        <v>0</v>
      </c>
      <c r="E34" s="56"/>
      <c r="F34" s="364">
        <v>0</v>
      </c>
      <c r="G34" s="56">
        <f t="shared" si="2"/>
        <v>0</v>
      </c>
      <c r="H34" s="56"/>
      <c r="I34" s="364">
        <v>0</v>
      </c>
      <c r="J34" s="56"/>
      <c r="K34" s="364">
        <v>0</v>
      </c>
      <c r="L34" s="56">
        <f t="shared" si="3"/>
        <v>0</v>
      </c>
      <c r="S34" s="194"/>
    </row>
    <row r="35" spans="1:19" s="54" customFormat="1" ht="12.75" x14ac:dyDescent="0.2">
      <c r="A35" s="54" t="s">
        <v>548</v>
      </c>
      <c r="B35" s="54" t="s">
        <v>29</v>
      </c>
      <c r="D35" s="364">
        <v>0</v>
      </c>
      <c r="E35" s="56"/>
      <c r="F35" s="364">
        <v>0</v>
      </c>
      <c r="G35" s="56">
        <f t="shared" si="2"/>
        <v>0</v>
      </c>
      <c r="H35" s="56"/>
      <c r="I35" s="364">
        <v>0</v>
      </c>
      <c r="J35" s="56"/>
      <c r="K35" s="364">
        <v>0</v>
      </c>
      <c r="L35" s="56">
        <f t="shared" si="3"/>
        <v>0</v>
      </c>
      <c r="S35" s="194"/>
    </row>
    <row r="36" spans="1:19" s="54" customFormat="1" ht="12.75" x14ac:dyDescent="0.2">
      <c r="A36" s="54" t="s">
        <v>549</v>
      </c>
      <c r="B36" s="54" t="s">
        <v>30</v>
      </c>
      <c r="D36" s="364">
        <v>0</v>
      </c>
      <c r="E36" s="56"/>
      <c r="F36" s="364">
        <v>0</v>
      </c>
      <c r="G36" s="56">
        <f t="shared" si="2"/>
        <v>0</v>
      </c>
      <c r="H36" s="56"/>
      <c r="I36" s="364">
        <v>0</v>
      </c>
      <c r="J36" s="56"/>
      <c r="K36" s="364">
        <v>0</v>
      </c>
      <c r="L36" s="56">
        <f t="shared" si="3"/>
        <v>0</v>
      </c>
      <c r="S36" s="194"/>
    </row>
    <row r="37" spans="1:19" s="54" customFormat="1" ht="12.75" x14ac:dyDescent="0.2">
      <c r="A37" s="54" t="s">
        <v>550</v>
      </c>
      <c r="B37" s="54" t="s">
        <v>31</v>
      </c>
      <c r="D37" s="364">
        <v>0</v>
      </c>
      <c r="E37" s="56"/>
      <c r="F37" s="364">
        <v>0</v>
      </c>
      <c r="G37" s="56">
        <f t="shared" si="2"/>
        <v>0</v>
      </c>
      <c r="H37" s="56"/>
      <c r="I37" s="364">
        <v>0</v>
      </c>
      <c r="J37" s="56"/>
      <c r="K37" s="364">
        <v>0</v>
      </c>
      <c r="L37" s="56">
        <f t="shared" si="3"/>
        <v>0</v>
      </c>
      <c r="S37" s="194"/>
    </row>
    <row r="38" spans="1:19" s="54" customFormat="1" ht="12.75" x14ac:dyDescent="0.2">
      <c r="A38" s="54" t="s">
        <v>551</v>
      </c>
      <c r="B38" s="54" t="s">
        <v>32</v>
      </c>
      <c r="D38" s="364">
        <v>0</v>
      </c>
      <c r="E38" s="56"/>
      <c r="F38" s="364">
        <v>0</v>
      </c>
      <c r="G38" s="56">
        <f t="shared" si="2"/>
        <v>0</v>
      </c>
      <c r="H38" s="56"/>
      <c r="I38" s="364">
        <v>0</v>
      </c>
      <c r="J38" s="56"/>
      <c r="K38" s="364">
        <v>0</v>
      </c>
      <c r="L38" s="56">
        <f t="shared" si="3"/>
        <v>0</v>
      </c>
      <c r="S38" s="194"/>
    </row>
    <row r="39" spans="1:19" s="54" customFormat="1" ht="12.75" x14ac:dyDescent="0.2">
      <c r="A39" s="54" t="s">
        <v>552</v>
      </c>
      <c r="B39" s="54" t="s">
        <v>33</v>
      </c>
      <c r="D39" s="364">
        <v>0</v>
      </c>
      <c r="E39" s="56"/>
      <c r="F39" s="364">
        <v>0</v>
      </c>
      <c r="G39" s="56">
        <f t="shared" si="2"/>
        <v>0</v>
      </c>
      <c r="H39" s="56"/>
      <c r="I39" s="364">
        <v>0</v>
      </c>
      <c r="J39" s="56"/>
      <c r="K39" s="364">
        <v>0</v>
      </c>
      <c r="L39" s="56">
        <f t="shared" si="3"/>
        <v>0</v>
      </c>
      <c r="S39" s="194"/>
    </row>
    <row r="40" spans="1:19" s="54" customFormat="1" ht="12.75" x14ac:dyDescent="0.2">
      <c r="A40" s="54" t="s">
        <v>553</v>
      </c>
      <c r="B40" s="54" t="s">
        <v>34</v>
      </c>
      <c r="D40" s="364">
        <v>0</v>
      </c>
      <c r="E40" s="56"/>
      <c r="F40" s="364">
        <v>0</v>
      </c>
      <c r="G40" s="56">
        <f t="shared" si="2"/>
        <v>0</v>
      </c>
      <c r="H40" s="56"/>
      <c r="I40" s="364">
        <v>0</v>
      </c>
      <c r="J40" s="56"/>
      <c r="K40" s="364">
        <v>0</v>
      </c>
      <c r="L40" s="56">
        <f t="shared" si="3"/>
        <v>0</v>
      </c>
      <c r="S40" s="194"/>
    </row>
    <row r="41" spans="1:19" s="54" customFormat="1" ht="12.75" x14ac:dyDescent="0.2">
      <c r="A41" s="54" t="s">
        <v>554</v>
      </c>
      <c r="B41" s="54" t="s">
        <v>35</v>
      </c>
      <c r="D41" s="364">
        <v>0</v>
      </c>
      <c r="E41" s="56"/>
      <c r="F41" s="364">
        <v>0</v>
      </c>
      <c r="G41" s="56">
        <f t="shared" si="2"/>
        <v>0</v>
      </c>
      <c r="H41" s="56"/>
      <c r="I41" s="364">
        <v>0</v>
      </c>
      <c r="J41" s="56"/>
      <c r="K41" s="364">
        <v>0</v>
      </c>
      <c r="L41" s="56">
        <f t="shared" si="3"/>
        <v>0</v>
      </c>
      <c r="S41" s="194"/>
    </row>
    <row r="42" spans="1:19" s="54" customFormat="1" ht="12.75" x14ac:dyDescent="0.2">
      <c r="A42" s="54" t="s">
        <v>555</v>
      </c>
      <c r="B42" s="54" t="s">
        <v>36</v>
      </c>
      <c r="D42" s="364">
        <v>0</v>
      </c>
      <c r="E42" s="56"/>
      <c r="F42" s="364">
        <v>0</v>
      </c>
      <c r="G42" s="56">
        <f t="shared" si="2"/>
        <v>0</v>
      </c>
      <c r="H42" s="56"/>
      <c r="I42" s="364">
        <v>0</v>
      </c>
      <c r="J42" s="56"/>
      <c r="K42" s="364">
        <v>0</v>
      </c>
      <c r="L42" s="56">
        <f t="shared" si="3"/>
        <v>0</v>
      </c>
      <c r="S42" s="194"/>
    </row>
    <row r="43" spans="1:19" s="54" customFormat="1" ht="12.75" x14ac:dyDescent="0.2">
      <c r="A43" s="54" t="s">
        <v>556</v>
      </c>
      <c r="B43" s="54" t="s">
        <v>37</v>
      </c>
      <c r="D43" s="364">
        <v>0</v>
      </c>
      <c r="E43" s="56"/>
      <c r="F43" s="364">
        <v>0</v>
      </c>
      <c r="G43" s="56">
        <f t="shared" si="2"/>
        <v>0</v>
      </c>
      <c r="H43" s="56"/>
      <c r="I43" s="364">
        <v>0</v>
      </c>
      <c r="J43" s="56"/>
      <c r="K43" s="364">
        <v>0</v>
      </c>
      <c r="L43" s="56">
        <f t="shared" si="3"/>
        <v>0</v>
      </c>
      <c r="S43" s="194"/>
    </row>
    <row r="44" spans="1:19" s="54" customFormat="1" ht="12.75" x14ac:dyDescent="0.2">
      <c r="A44" s="54" t="s">
        <v>557</v>
      </c>
      <c r="B44" s="54" t="s">
        <v>38</v>
      </c>
      <c r="D44" s="364">
        <v>0</v>
      </c>
      <c r="E44" s="56"/>
      <c r="F44" s="364">
        <v>0</v>
      </c>
      <c r="G44" s="56">
        <f t="shared" si="2"/>
        <v>0</v>
      </c>
      <c r="H44" s="56"/>
      <c r="I44" s="364">
        <v>0</v>
      </c>
      <c r="J44" s="56"/>
      <c r="K44" s="364">
        <v>0</v>
      </c>
      <c r="L44" s="56">
        <f t="shared" si="3"/>
        <v>0</v>
      </c>
      <c r="S44" s="194"/>
    </row>
    <row r="45" spans="1:19" s="54" customFormat="1" ht="12.75" x14ac:dyDescent="0.2">
      <c r="A45" s="54" t="s">
        <v>558</v>
      </c>
      <c r="B45" s="54" t="s">
        <v>39</v>
      </c>
      <c r="D45" s="292">
        <v>0</v>
      </c>
      <c r="E45" s="56"/>
      <c r="F45" s="364">
        <v>0</v>
      </c>
      <c r="G45" s="56">
        <f t="shared" si="2"/>
        <v>0</v>
      </c>
      <c r="H45" s="56"/>
      <c r="I45" s="364">
        <v>0</v>
      </c>
      <c r="J45" s="56"/>
      <c r="K45" s="364">
        <v>0</v>
      </c>
      <c r="L45" s="56">
        <f t="shared" si="3"/>
        <v>0</v>
      </c>
      <c r="S45" s="194"/>
    </row>
    <row r="46" spans="1:19" s="54" customFormat="1" ht="13.5" thickBot="1" x14ac:dyDescent="0.25">
      <c r="D46" s="293">
        <f>SUM(D9:D45)</f>
        <v>0</v>
      </c>
      <c r="F46" s="293">
        <f>SUM(F9:F45)</f>
        <v>0</v>
      </c>
      <c r="G46" s="37">
        <f>SUM(G9:G45)</f>
        <v>0</v>
      </c>
      <c r="I46" s="293">
        <f>SUM(I9:I45)</f>
        <v>0</v>
      </c>
      <c r="K46" s="293">
        <f>SUM(K9:K45)</f>
        <v>0</v>
      </c>
      <c r="L46" s="37">
        <f>SUM(L9:L45)</f>
        <v>0</v>
      </c>
      <c r="S46" s="35"/>
    </row>
    <row r="47" spans="1:19" s="54" customFormat="1" ht="13.5" thickTop="1" x14ac:dyDescent="0.2"/>
    <row r="48" spans="1:19" s="54" customFormat="1" ht="12.75" x14ac:dyDescent="0.2"/>
    <row r="49" spans="1:19" s="54" customFormat="1" ht="12.75" x14ac:dyDescent="0.2">
      <c r="A49" s="59" t="s">
        <v>40</v>
      </c>
      <c r="F49" s="630" t="s">
        <v>384</v>
      </c>
      <c r="G49" s="630"/>
      <c r="I49" s="294"/>
      <c r="J49" s="294"/>
      <c r="K49" s="630" t="s">
        <v>384</v>
      </c>
      <c r="L49" s="630"/>
      <c r="M49" s="58"/>
      <c r="N49" s="58"/>
      <c r="S49" s="61"/>
    </row>
    <row r="50" spans="1:19" s="54" customFormat="1" ht="12.75" x14ac:dyDescent="0.2">
      <c r="F50" s="60" t="str">
        <f>D6</f>
        <v>FY2024</v>
      </c>
      <c r="G50" s="60" t="s">
        <v>41</v>
      </c>
      <c r="I50" s="61"/>
      <c r="J50" s="61"/>
      <c r="K50" s="60" t="str">
        <f>I6</f>
        <v>FY2025</v>
      </c>
      <c r="L50" s="60" t="s">
        <v>41</v>
      </c>
      <c r="M50" s="58"/>
      <c r="N50" s="58"/>
      <c r="S50" s="61"/>
    </row>
    <row r="51" spans="1:19" s="54" customFormat="1" ht="12.75" x14ac:dyDescent="0.2">
      <c r="A51" s="52" t="s">
        <v>276</v>
      </c>
      <c r="F51" s="35">
        <f>G9+G10+G11+G12+G13+G14+G15+G16+G28+G29+G30+G31+G32+G33+G34+G35</f>
        <v>0</v>
      </c>
      <c r="G51" s="36">
        <f t="shared" ref="G51:G62" si="4">IF($F$62=0,0,F51/$F$62)</f>
        <v>0</v>
      </c>
      <c r="I51" s="35"/>
      <c r="J51" s="35"/>
      <c r="K51" s="35">
        <f>L9+L10+L11+L12+L13+L14+L15+L16+L28+L29+L30+L31+L32+L33+L34+L35</f>
        <v>0</v>
      </c>
      <c r="L51" s="36">
        <f t="shared" ref="L51:L62" si="5">IF($K$62=0,0,K51/$K$62)</f>
        <v>0</v>
      </c>
      <c r="S51" s="35"/>
    </row>
    <row r="52" spans="1:19" s="54" customFormat="1" ht="12.75" x14ac:dyDescent="0.2">
      <c r="A52" s="52" t="s">
        <v>277</v>
      </c>
      <c r="F52" s="35">
        <f t="shared" ref="F52:F61" si="6">G17+G36</f>
        <v>0</v>
      </c>
      <c r="G52" s="36">
        <f t="shared" si="4"/>
        <v>0</v>
      </c>
      <c r="I52" s="35"/>
      <c r="J52" s="35"/>
      <c r="K52" s="35">
        <f t="shared" ref="K52:K61" si="7">L17+L36</f>
        <v>0</v>
      </c>
      <c r="L52" s="36">
        <f t="shared" si="5"/>
        <v>0</v>
      </c>
      <c r="S52" s="35"/>
    </row>
    <row r="53" spans="1:19" s="54" customFormat="1" ht="12.75" x14ac:dyDescent="0.2">
      <c r="A53" s="52" t="s">
        <v>278</v>
      </c>
      <c r="F53" s="35">
        <f t="shared" si="6"/>
        <v>0</v>
      </c>
      <c r="G53" s="36">
        <f t="shared" si="4"/>
        <v>0</v>
      </c>
      <c r="I53" s="35"/>
      <c r="J53" s="35"/>
      <c r="K53" s="35">
        <f t="shared" si="7"/>
        <v>0</v>
      </c>
      <c r="L53" s="36">
        <f t="shared" si="5"/>
        <v>0</v>
      </c>
      <c r="S53" s="35"/>
    </row>
    <row r="54" spans="1:19" s="54" customFormat="1" ht="12.75" x14ac:dyDescent="0.2">
      <c r="A54" s="52" t="s">
        <v>279</v>
      </c>
      <c r="F54" s="35">
        <f t="shared" si="6"/>
        <v>0</v>
      </c>
      <c r="G54" s="36">
        <f t="shared" si="4"/>
        <v>0</v>
      </c>
      <c r="I54" s="35"/>
      <c r="J54" s="35"/>
      <c r="K54" s="35">
        <f t="shared" si="7"/>
        <v>0</v>
      </c>
      <c r="L54" s="36">
        <f t="shared" si="5"/>
        <v>0</v>
      </c>
      <c r="S54" s="35"/>
    </row>
    <row r="55" spans="1:19" s="54" customFormat="1" ht="12.75" x14ac:dyDescent="0.2">
      <c r="A55" s="52" t="s">
        <v>280</v>
      </c>
      <c r="F55" s="35">
        <f t="shared" si="6"/>
        <v>0</v>
      </c>
      <c r="G55" s="36">
        <f t="shared" si="4"/>
        <v>0</v>
      </c>
      <c r="I55" s="35"/>
      <c r="J55" s="35"/>
      <c r="K55" s="35">
        <f t="shared" si="7"/>
        <v>0</v>
      </c>
      <c r="L55" s="36">
        <f t="shared" si="5"/>
        <v>0</v>
      </c>
      <c r="S55" s="35"/>
    </row>
    <row r="56" spans="1:19" s="54" customFormat="1" ht="12.75" x14ac:dyDescent="0.2">
      <c r="A56" s="52" t="s">
        <v>281</v>
      </c>
      <c r="F56" s="35">
        <f t="shared" si="6"/>
        <v>0</v>
      </c>
      <c r="G56" s="36">
        <f t="shared" si="4"/>
        <v>0</v>
      </c>
      <c r="I56" s="35"/>
      <c r="J56" s="35"/>
      <c r="K56" s="35">
        <f t="shared" si="7"/>
        <v>0</v>
      </c>
      <c r="L56" s="36">
        <f t="shared" si="5"/>
        <v>0</v>
      </c>
      <c r="S56" s="35"/>
    </row>
    <row r="57" spans="1:19" s="54" customFormat="1" ht="12.75" x14ac:dyDescent="0.2">
      <c r="A57" s="52" t="s">
        <v>282</v>
      </c>
      <c r="F57" s="35">
        <f t="shared" si="6"/>
        <v>0</v>
      </c>
      <c r="G57" s="36">
        <f t="shared" si="4"/>
        <v>0</v>
      </c>
      <c r="I57" s="35"/>
      <c r="J57" s="35"/>
      <c r="K57" s="35">
        <f t="shared" si="7"/>
        <v>0</v>
      </c>
      <c r="L57" s="36">
        <f t="shared" si="5"/>
        <v>0</v>
      </c>
      <c r="S57" s="35"/>
    </row>
    <row r="58" spans="1:19" s="54" customFormat="1" ht="12.75" x14ac:dyDescent="0.2">
      <c r="A58" s="52" t="s">
        <v>283</v>
      </c>
      <c r="F58" s="35">
        <f t="shared" si="6"/>
        <v>0</v>
      </c>
      <c r="G58" s="36">
        <f t="shared" si="4"/>
        <v>0</v>
      </c>
      <c r="I58" s="35"/>
      <c r="J58" s="35"/>
      <c r="K58" s="35">
        <f t="shared" si="7"/>
        <v>0</v>
      </c>
      <c r="L58" s="36">
        <f t="shared" si="5"/>
        <v>0</v>
      </c>
      <c r="S58" s="35"/>
    </row>
    <row r="59" spans="1:19" s="54" customFormat="1" ht="12.75" x14ac:dyDescent="0.2">
      <c r="A59" s="52" t="s">
        <v>284</v>
      </c>
      <c r="F59" s="35">
        <f t="shared" si="6"/>
        <v>0</v>
      </c>
      <c r="G59" s="36">
        <f t="shared" si="4"/>
        <v>0</v>
      </c>
      <c r="I59" s="35"/>
      <c r="J59" s="35"/>
      <c r="K59" s="35">
        <f t="shared" si="7"/>
        <v>0</v>
      </c>
      <c r="L59" s="36">
        <f t="shared" si="5"/>
        <v>0</v>
      </c>
      <c r="S59" s="35"/>
    </row>
    <row r="60" spans="1:19" s="54" customFormat="1" ht="12.75" x14ac:dyDescent="0.2">
      <c r="A60" s="52" t="s">
        <v>285</v>
      </c>
      <c r="F60" s="35">
        <f t="shared" si="6"/>
        <v>0</v>
      </c>
      <c r="G60" s="36">
        <f t="shared" si="4"/>
        <v>0</v>
      </c>
      <c r="I60" s="35"/>
      <c r="J60" s="35"/>
      <c r="K60" s="35">
        <f t="shared" si="7"/>
        <v>0</v>
      </c>
      <c r="L60" s="36">
        <f t="shared" si="5"/>
        <v>0</v>
      </c>
      <c r="S60" s="35"/>
    </row>
    <row r="61" spans="1:19" s="54" customFormat="1" ht="12.75" x14ac:dyDescent="0.2">
      <c r="A61" s="52" t="s">
        <v>286</v>
      </c>
      <c r="F61" s="35">
        <f t="shared" si="6"/>
        <v>0</v>
      </c>
      <c r="G61" s="36">
        <f t="shared" si="4"/>
        <v>0</v>
      </c>
      <c r="I61" s="35"/>
      <c r="J61" s="35"/>
      <c r="K61" s="35">
        <f t="shared" si="7"/>
        <v>0</v>
      </c>
      <c r="L61" s="36">
        <f t="shared" si="5"/>
        <v>0</v>
      </c>
      <c r="S61" s="35"/>
    </row>
    <row r="62" spans="1:19" s="54" customFormat="1" ht="13.5" thickBot="1" x14ac:dyDescent="0.25">
      <c r="F62" s="37">
        <f>SUM(F51:F61)</f>
        <v>0</v>
      </c>
      <c r="G62" s="38">
        <f t="shared" si="4"/>
        <v>0</v>
      </c>
      <c r="I62" s="35"/>
      <c r="J62" s="35"/>
      <c r="K62" s="37">
        <f>SUM(K51:K61)</f>
        <v>0</v>
      </c>
      <c r="L62" s="38">
        <f t="shared" si="5"/>
        <v>0</v>
      </c>
      <c r="S62" s="35"/>
    </row>
    <row r="63" spans="1:19" s="54" customFormat="1" ht="13.5" thickTop="1" x14ac:dyDescent="0.2"/>
    <row r="64" spans="1:19" s="54" customFormat="1" ht="13.5" thickBot="1" x14ac:dyDescent="0.25"/>
    <row r="65" spans="1:19" s="54" customFormat="1" ht="15.75" customHeight="1" thickBot="1" x14ac:dyDescent="0.25">
      <c r="D65" s="623" t="s">
        <v>336</v>
      </c>
      <c r="E65" s="624"/>
      <c r="F65" s="624"/>
      <c r="G65" s="624"/>
      <c r="H65" s="624"/>
      <c r="I65" s="625"/>
      <c r="J65" s="58"/>
      <c r="K65" s="58"/>
      <c r="L65" s="58"/>
      <c r="M65" s="58"/>
      <c r="N65" s="58"/>
      <c r="O65" s="58"/>
      <c r="P65" s="58"/>
      <c r="Q65" s="58"/>
      <c r="R65" s="58"/>
      <c r="S65" s="58"/>
    </row>
    <row r="66" spans="1:19" s="54" customFormat="1" ht="12.75" x14ac:dyDescent="0.2"/>
    <row r="67" spans="1:19" s="54" customFormat="1" ht="12.75" x14ac:dyDescent="0.2">
      <c r="F67" s="60" t="s">
        <v>176</v>
      </c>
      <c r="G67" s="60" t="str">
        <f>F50</f>
        <v>FY2024</v>
      </c>
      <c r="I67" s="60" t="str">
        <f>I6</f>
        <v>FY2025</v>
      </c>
    </row>
    <row r="68" spans="1:19" s="54" customFormat="1" ht="12.75" x14ac:dyDescent="0.2">
      <c r="E68" s="196" t="s">
        <v>335</v>
      </c>
      <c r="F68" s="197" t="s">
        <v>334</v>
      </c>
      <c r="G68" s="364">
        <v>0</v>
      </c>
      <c r="I68" s="364">
        <v>0</v>
      </c>
    </row>
    <row r="69" spans="1:19" s="54" customFormat="1" ht="12.75" x14ac:dyDescent="0.2"/>
    <row r="70" spans="1:19" s="54" customFormat="1" ht="12.75" customHeight="1" x14ac:dyDescent="0.2">
      <c r="A70" s="626" t="s">
        <v>667</v>
      </c>
      <c r="B70" s="626"/>
      <c r="C70" s="626"/>
      <c r="D70" s="626"/>
      <c r="E70" s="626"/>
      <c r="F70" s="626"/>
      <c r="G70" s="626"/>
      <c r="H70" s="626"/>
      <c r="I70" s="626"/>
      <c r="J70" s="626"/>
      <c r="K70" s="626"/>
      <c r="L70" s="626"/>
      <c r="M70" s="279"/>
      <c r="N70" s="279"/>
      <c r="O70" s="279"/>
      <c r="P70" s="279"/>
      <c r="Q70" s="279"/>
      <c r="R70" s="279"/>
    </row>
    <row r="71" spans="1:19" s="54" customFormat="1" ht="12.75" x14ac:dyDescent="0.2">
      <c r="A71" s="626"/>
      <c r="B71" s="626"/>
      <c r="C71" s="626"/>
      <c r="D71" s="626"/>
      <c r="E71" s="626"/>
      <c r="F71" s="626"/>
      <c r="G71" s="626"/>
      <c r="H71" s="626"/>
      <c r="I71" s="626"/>
      <c r="J71" s="626"/>
      <c r="K71" s="626"/>
      <c r="L71" s="626"/>
      <c r="M71" s="279"/>
      <c r="N71" s="279"/>
      <c r="O71" s="279"/>
      <c r="P71" s="279"/>
      <c r="Q71" s="279"/>
      <c r="R71" s="279"/>
    </row>
    <row r="72" spans="1:19" s="54" customFormat="1" ht="12.75" x14ac:dyDescent="0.2">
      <c r="A72" s="626"/>
      <c r="B72" s="626"/>
      <c r="C72" s="626"/>
      <c r="D72" s="626"/>
      <c r="E72" s="626"/>
      <c r="F72" s="626"/>
      <c r="G72" s="626"/>
      <c r="H72" s="626"/>
      <c r="I72" s="626"/>
      <c r="J72" s="626"/>
      <c r="K72" s="626"/>
      <c r="L72" s="626"/>
      <c r="M72" s="279"/>
      <c r="N72" s="279"/>
      <c r="O72" s="279"/>
      <c r="P72" s="279"/>
      <c r="Q72" s="279"/>
      <c r="R72" s="279"/>
    </row>
    <row r="73" spans="1:19" s="54" customFormat="1" ht="12.75" x14ac:dyDescent="0.2">
      <c r="A73" s="626"/>
      <c r="B73" s="626"/>
      <c r="C73" s="626"/>
      <c r="D73" s="626"/>
      <c r="E73" s="626"/>
      <c r="F73" s="626"/>
      <c r="G73" s="626"/>
      <c r="H73" s="626"/>
      <c r="I73" s="626"/>
      <c r="J73" s="626"/>
      <c r="K73" s="626"/>
      <c r="L73" s="626"/>
      <c r="M73" s="279"/>
      <c r="N73" s="279"/>
      <c r="O73" s="279"/>
      <c r="P73" s="279"/>
      <c r="Q73" s="279"/>
      <c r="R73" s="279"/>
    </row>
    <row r="74" spans="1:19" s="54" customFormat="1" ht="12.75" x14ac:dyDescent="0.2">
      <c r="A74" s="626"/>
      <c r="B74" s="626"/>
      <c r="C74" s="626"/>
      <c r="D74" s="626"/>
      <c r="E74" s="626"/>
      <c r="F74" s="626"/>
      <c r="G74" s="626"/>
      <c r="H74" s="626"/>
      <c r="I74" s="626"/>
      <c r="J74" s="626"/>
      <c r="K74" s="626"/>
      <c r="L74" s="626"/>
      <c r="M74" s="279"/>
      <c r="N74" s="279"/>
      <c r="O74" s="279"/>
      <c r="P74" s="279"/>
      <c r="Q74" s="279"/>
      <c r="R74" s="279"/>
    </row>
    <row r="75" spans="1:19" s="54" customFormat="1" ht="12.75" x14ac:dyDescent="0.2">
      <c r="A75" s="279"/>
      <c r="B75" s="279"/>
      <c r="C75" s="279"/>
      <c r="D75" s="279"/>
      <c r="E75" s="279"/>
      <c r="F75" s="279"/>
      <c r="G75" s="279"/>
      <c r="H75" s="279"/>
      <c r="I75" s="279"/>
      <c r="J75" s="279"/>
      <c r="K75" s="279"/>
      <c r="L75" s="279"/>
      <c r="M75" s="279"/>
      <c r="N75" s="279"/>
      <c r="O75" s="279"/>
      <c r="P75" s="279"/>
      <c r="Q75" s="279"/>
      <c r="R75" s="279"/>
    </row>
    <row r="76" spans="1:19" s="54" customFormat="1" ht="12.75" x14ac:dyDescent="0.2">
      <c r="A76" s="279"/>
      <c r="B76" s="279"/>
      <c r="C76" s="279"/>
      <c r="D76" s="279"/>
      <c r="E76" s="279"/>
      <c r="F76" s="279"/>
      <c r="G76" s="279"/>
      <c r="H76" s="279"/>
      <c r="I76" s="279"/>
      <c r="J76" s="279"/>
      <c r="K76" s="279"/>
      <c r="L76" s="279"/>
      <c r="M76" s="279"/>
      <c r="N76" s="279"/>
      <c r="O76" s="279"/>
      <c r="P76" s="279"/>
      <c r="Q76" s="279"/>
      <c r="R76" s="279"/>
    </row>
    <row r="77" spans="1:19" x14ac:dyDescent="0.2">
      <c r="A77" s="279"/>
      <c r="B77" s="279"/>
      <c r="C77" s="279"/>
      <c r="D77" s="279"/>
      <c r="E77" s="279"/>
      <c r="F77" s="279"/>
      <c r="G77" s="279"/>
      <c r="H77" s="279"/>
      <c r="I77" s="279"/>
      <c r="J77" s="279"/>
      <c r="K77" s="279"/>
      <c r="L77" s="279"/>
      <c r="M77" s="279"/>
      <c r="N77" s="279"/>
      <c r="O77" s="279"/>
      <c r="P77" s="279"/>
      <c r="Q77" s="279"/>
      <c r="R77" s="279"/>
    </row>
    <row r="79" spans="1:19" x14ac:dyDescent="0.2">
      <c r="P79" s="287"/>
    </row>
  </sheetData>
  <sheetProtection algorithmName="SHA-512" hashValue="PWmSfmP0VsEq1anYakTSm7M8ZWif9e/gAkpJNf0PQQeVQNBTNa1ipW/Zu8XjuyLcmz99naSTwZtQfouBMUmxvg==" saltValue="LgFsKQZdRns1+CTJc2Mz1A==" spinCount="100000" sheet="1" objects="1" scenarios="1"/>
  <protectedRanges>
    <protectedRange sqref="G9:G26 G28:G45 L28:L45 L9:L26" name="Range1"/>
  </protectedRanges>
  <mergeCells count="7">
    <mergeCell ref="A70:L74"/>
    <mergeCell ref="D65:I65"/>
    <mergeCell ref="N1:S1"/>
    <mergeCell ref="K49:L49"/>
    <mergeCell ref="D6:G6"/>
    <mergeCell ref="I6:L6"/>
    <mergeCell ref="F49:G4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H21"/>
  <sheetViews>
    <sheetView zoomScale="85" zoomScaleNormal="85" workbookViewId="0">
      <selection activeCell="I12" sqref="I12"/>
    </sheetView>
  </sheetViews>
  <sheetFormatPr defaultColWidth="8.88671875" defaultRowHeight="15" x14ac:dyDescent="0.2"/>
  <cols>
    <col min="1" max="1" width="5.88671875" customWidth="1"/>
    <col min="4" max="4" width="15.33203125" customWidth="1"/>
    <col min="5" max="5" width="2.33203125" customWidth="1"/>
    <col min="6" max="6" width="14.77734375" customWidth="1"/>
    <col min="7" max="7" width="16.88671875" customWidth="1"/>
    <col min="8" max="8" width="17.5546875" customWidth="1"/>
    <col min="10" max="10" width="11.44140625" customWidth="1"/>
    <col min="11" max="11" width="3.21875" customWidth="1"/>
    <col min="12" max="12" width="11.77734375" customWidth="1"/>
    <col min="13" max="13" width="2.21875" customWidth="1"/>
    <col min="14" max="14" width="10.88671875" customWidth="1"/>
    <col min="15" max="15" width="1.77734375" customWidth="1"/>
    <col min="16" max="16" width="12.44140625" customWidth="1"/>
  </cols>
  <sheetData>
    <row r="1" spans="1:8" ht="18" x14ac:dyDescent="0.25">
      <c r="A1" s="21" t="s">
        <v>16</v>
      </c>
    </row>
    <row r="2" spans="1:8" ht="18" x14ac:dyDescent="0.25">
      <c r="A2" s="21" t="s">
        <v>378</v>
      </c>
    </row>
    <row r="3" spans="1:8" ht="18" x14ac:dyDescent="0.25">
      <c r="A3" s="21"/>
    </row>
    <row r="4" spans="1:8" ht="15.75" x14ac:dyDescent="0.25">
      <c r="A4" s="25" t="s">
        <v>131</v>
      </c>
    </row>
    <row r="6" spans="1:8" ht="15.75" x14ac:dyDescent="0.25">
      <c r="A6" s="22" t="s">
        <v>380</v>
      </c>
    </row>
    <row r="8" spans="1:8" ht="15.75" x14ac:dyDescent="0.25">
      <c r="B8" s="23" t="s">
        <v>328</v>
      </c>
      <c r="G8" s="280">
        <v>0</v>
      </c>
      <c r="H8" s="25" t="s">
        <v>85</v>
      </c>
    </row>
    <row r="10" spans="1:8" ht="15.75" x14ac:dyDescent="0.25">
      <c r="B10" s="23" t="s">
        <v>263</v>
      </c>
      <c r="G10" s="193">
        <f>'GASB 75 Sch Input CY'!B39</f>
        <v>39551500</v>
      </c>
      <c r="H10" s="25" t="s">
        <v>85</v>
      </c>
    </row>
    <row r="12" spans="1:8" ht="16.5" thickBot="1" x14ac:dyDescent="0.3">
      <c r="B12" s="23" t="s">
        <v>86</v>
      </c>
      <c r="G12" s="224">
        <f>IF(G10=0,0,G8/G10)</f>
        <v>0</v>
      </c>
    </row>
    <row r="13" spans="1:8" ht="15.75" thickTop="1" x14ac:dyDescent="0.2"/>
    <row r="14" spans="1:8" ht="15.75" x14ac:dyDescent="0.25">
      <c r="A14" s="22" t="s">
        <v>250</v>
      </c>
    </row>
    <row r="16" spans="1:8" ht="15.75" x14ac:dyDescent="0.25">
      <c r="B16" s="23" t="s">
        <v>328</v>
      </c>
      <c r="G16" s="358">
        <v>0</v>
      </c>
      <c r="H16" s="22" t="s">
        <v>381</v>
      </c>
    </row>
    <row r="18" spans="2:8" ht="15.75" x14ac:dyDescent="0.25">
      <c r="B18" s="23" t="s">
        <v>263</v>
      </c>
      <c r="G18" s="193">
        <f>'GASB 75 Sch Input PY '!B39</f>
        <v>100285314</v>
      </c>
      <c r="H18" s="25" t="s">
        <v>85</v>
      </c>
    </row>
    <row r="20" spans="2:8" ht="16.5" thickBot="1" x14ac:dyDescent="0.3">
      <c r="B20" s="23" t="s">
        <v>86</v>
      </c>
      <c r="G20" s="224">
        <f>IF(G18=0,0,G16/G18)</f>
        <v>0</v>
      </c>
    </row>
    <row r="21" spans="2:8" ht="15.75" thickTop="1" x14ac:dyDescent="0.2"/>
  </sheetData>
  <sheetProtection algorithmName="SHA-512" hashValue="sxqy9I+GiS8175Hn1qFGnTraG3m8jq8uMHTNv/tdeDu+biaDPjxbr7UDhlJS6BUAaF47w40IpP/OFPU/UK8qqA==" saltValue="Cg1mFUQOx84sN9WomP45kg==" spinCount="100000"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H25"/>
  <sheetViews>
    <sheetView zoomScale="85" zoomScaleNormal="85" workbookViewId="0">
      <selection activeCell="G25" sqref="G25"/>
    </sheetView>
  </sheetViews>
  <sheetFormatPr defaultColWidth="8.88671875" defaultRowHeight="15" x14ac:dyDescent="0.2"/>
  <cols>
    <col min="1" max="1" width="5.88671875" customWidth="1"/>
    <col min="4" max="4" width="15.33203125" customWidth="1"/>
    <col min="5" max="5" width="2.33203125" customWidth="1"/>
    <col min="6" max="6" width="16.21875" customWidth="1"/>
    <col min="7" max="7" width="16.88671875" customWidth="1"/>
    <col min="8" max="8" width="15" customWidth="1"/>
    <col min="10" max="10" width="10.77734375" customWidth="1"/>
    <col min="11" max="11" width="3.21875" customWidth="1"/>
    <col min="12" max="12" width="11.77734375" customWidth="1"/>
  </cols>
  <sheetData>
    <row r="1" spans="1:8" ht="18" x14ac:dyDescent="0.25">
      <c r="A1" s="21" t="s">
        <v>16</v>
      </c>
    </row>
    <row r="2" spans="1:8" ht="18" x14ac:dyDescent="0.25">
      <c r="A2" s="21" t="str">
        <f>'OPEB Contr Input - MCVC'!A5</f>
        <v>Password for protected sheet: BOE2025</v>
      </c>
    </row>
    <row r="3" spans="1:8" ht="18" x14ac:dyDescent="0.25">
      <c r="A3" s="21"/>
    </row>
    <row r="4" spans="1:8" ht="15.75" x14ac:dyDescent="0.25">
      <c r="A4" s="25" t="s">
        <v>409</v>
      </c>
    </row>
    <row r="6" spans="1:8" ht="15.75" x14ac:dyDescent="0.25">
      <c r="A6" s="22" t="s">
        <v>668</v>
      </c>
    </row>
    <row r="8" spans="1:8" ht="15.75" x14ac:dyDescent="0.25">
      <c r="B8" s="23" t="s">
        <v>329</v>
      </c>
      <c r="G8" s="280">
        <f>ROUND(('OPEB Contr Input - MCVC'!G46-'MCVC Proportion'!F25),0)</f>
        <v>0</v>
      </c>
      <c r="H8" s="25" t="s">
        <v>85</v>
      </c>
    </row>
    <row r="10" spans="1:8" ht="15.75" x14ac:dyDescent="0.25">
      <c r="B10" s="23" t="s">
        <v>263</v>
      </c>
      <c r="G10" s="193">
        <f>'GASB 75 Sch Input CY'!B39</f>
        <v>39551500</v>
      </c>
      <c r="H10" s="25" t="s">
        <v>85</v>
      </c>
    </row>
    <row r="12" spans="1:8" ht="16.5" thickBot="1" x14ac:dyDescent="0.3">
      <c r="B12" s="23" t="s">
        <v>87</v>
      </c>
      <c r="G12" s="224">
        <f>IF(G10=0,0,G8/G10)</f>
        <v>0</v>
      </c>
    </row>
    <row r="13" spans="1:8" ht="15.75" thickTop="1" x14ac:dyDescent="0.2"/>
    <row r="14" spans="1:8" ht="15.75" x14ac:dyDescent="0.25">
      <c r="A14" s="22" t="s">
        <v>576</v>
      </c>
    </row>
    <row r="16" spans="1:8" ht="15.75" x14ac:dyDescent="0.25">
      <c r="B16" s="23" t="s">
        <v>329</v>
      </c>
      <c r="G16" s="358">
        <v>0</v>
      </c>
      <c r="H16" s="22" t="s">
        <v>669</v>
      </c>
    </row>
    <row r="18" spans="2:8" ht="15.75" x14ac:dyDescent="0.25">
      <c r="B18" s="23" t="s">
        <v>263</v>
      </c>
      <c r="G18" s="193">
        <f>'GASB 75 Sch Input PY '!B39</f>
        <v>100285314</v>
      </c>
      <c r="H18" s="25" t="s">
        <v>85</v>
      </c>
    </row>
    <row r="20" spans="2:8" ht="16.5" thickBot="1" x14ac:dyDescent="0.3">
      <c r="B20" s="23" t="s">
        <v>87</v>
      </c>
      <c r="G20" s="224">
        <f>IF(G18=0,0,G16/G18)</f>
        <v>0</v>
      </c>
    </row>
    <row r="21" spans="2:8" ht="15.75" thickTop="1" x14ac:dyDescent="0.2"/>
    <row r="25" spans="2:8" ht="15.75" x14ac:dyDescent="0.25">
      <c r="D25" s="281" t="s">
        <v>670</v>
      </c>
      <c r="F25" s="404">
        <v>0</v>
      </c>
      <c r="G25" s="22" t="s">
        <v>671</v>
      </c>
    </row>
  </sheetData>
  <sheetProtection algorithmName="SHA-512" hashValue="SMXGb35xmLl2SASUQEYc859hRAAFvNHIuPwxFpZLTLMOf4unDTXMH/gngGIihQfvORe8+ZLibEFTMOYcfzRdCQ==" saltValue="r3JRwwzSKqV4IFJhhuX6nQ==" spinCount="100000" sheet="1" objects="1" scenarios="1"/>
  <protectedRanges>
    <protectedRange sqref="G16" name="Range2"/>
    <protectedRange sqref="F25" name="Range1"/>
  </protectedRange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Q50"/>
  <sheetViews>
    <sheetView workbookViewId="0">
      <selection activeCell="G24" sqref="G24"/>
    </sheetView>
  </sheetViews>
  <sheetFormatPr defaultColWidth="8.88671875" defaultRowHeight="15" x14ac:dyDescent="0.2"/>
  <cols>
    <col min="1" max="1" width="35.21875" customWidth="1"/>
    <col min="2" max="2" width="1.77734375" customWidth="1"/>
    <col min="3" max="3" width="11.88671875" customWidth="1"/>
    <col min="4" max="4" width="1.33203125" customWidth="1"/>
    <col min="5" max="5" width="11.88671875" hidden="1" customWidth="1"/>
    <col min="6" max="6" width="1.109375" hidden="1" customWidth="1"/>
    <col min="7" max="7" width="11.88671875" customWidth="1"/>
    <col min="8" max="8" width="1" customWidth="1"/>
    <col min="9" max="9" width="13.5546875" bestFit="1" customWidth="1"/>
    <col min="10" max="10" width="1" customWidth="1"/>
    <col min="15" max="15" width="19.88671875" bestFit="1" customWidth="1"/>
    <col min="16" max="16" width="16" bestFit="1" customWidth="1"/>
  </cols>
  <sheetData>
    <row r="1" spans="1:17" ht="18" x14ac:dyDescent="0.25">
      <c r="A1" s="21" t="s">
        <v>16</v>
      </c>
    </row>
    <row r="2" spans="1:17" ht="18" x14ac:dyDescent="0.25">
      <c r="A2" s="21" t="str">
        <f>'MCVC Proportion'!A2</f>
        <v>Password for protected sheet: BOE2025</v>
      </c>
    </row>
    <row r="4" spans="1:17" ht="15.75" x14ac:dyDescent="0.25">
      <c r="A4" s="621" t="s">
        <v>672</v>
      </c>
      <c r="B4" s="621"/>
      <c r="C4" s="621"/>
      <c r="D4" s="621"/>
      <c r="E4" s="621"/>
      <c r="F4" s="621"/>
      <c r="G4" s="621"/>
      <c r="H4" s="621"/>
      <c r="I4" s="621"/>
      <c r="P4" s="281"/>
      <c r="Q4" s="23"/>
    </row>
    <row r="5" spans="1:17" ht="15.75" x14ac:dyDescent="0.25">
      <c r="A5" s="621"/>
      <c r="B5" s="621"/>
      <c r="C5" s="621"/>
      <c r="D5" s="621"/>
      <c r="E5" s="621"/>
      <c r="F5" s="621"/>
      <c r="G5" s="621"/>
      <c r="H5" s="621"/>
      <c r="I5" s="621"/>
      <c r="O5" s="281"/>
      <c r="P5" s="193"/>
      <c r="Q5" s="25"/>
    </row>
    <row r="6" spans="1:17" ht="15.75" x14ac:dyDescent="0.25">
      <c r="A6" s="621"/>
      <c r="B6" s="621"/>
      <c r="C6" s="621"/>
      <c r="D6" s="621"/>
      <c r="E6" s="621"/>
      <c r="F6" s="621"/>
      <c r="G6" s="621"/>
      <c r="H6" s="621"/>
      <c r="I6" s="621"/>
      <c r="O6" s="281"/>
      <c r="P6" s="353"/>
      <c r="Q6" s="25"/>
    </row>
    <row r="7" spans="1:17" x14ac:dyDescent="0.2">
      <c r="A7" s="621"/>
      <c r="B7" s="621"/>
      <c r="C7" s="621"/>
      <c r="D7" s="621"/>
      <c r="E7" s="621"/>
      <c r="F7" s="621"/>
      <c r="G7" s="621"/>
      <c r="H7" s="621"/>
      <c r="I7" s="621"/>
    </row>
    <row r="8" spans="1:17" x14ac:dyDescent="0.2">
      <c r="A8" s="621"/>
      <c r="B8" s="621"/>
      <c r="C8" s="621"/>
      <c r="D8" s="621"/>
      <c r="E8" s="621"/>
      <c r="F8" s="621"/>
      <c r="G8" s="621"/>
      <c r="H8" s="621"/>
      <c r="I8" s="621"/>
    </row>
    <row r="9" spans="1:17" ht="15.75" thickBot="1" x14ac:dyDescent="0.25">
      <c r="A9" s="289"/>
      <c r="B9" s="289"/>
      <c r="C9" s="289"/>
      <c r="D9" s="289"/>
      <c r="E9" s="289"/>
      <c r="F9" s="289"/>
      <c r="G9" s="289"/>
      <c r="H9" s="289"/>
      <c r="I9" s="289"/>
    </row>
    <row r="10" spans="1:17" ht="16.5" thickBot="1" x14ac:dyDescent="0.3">
      <c r="A10" s="631" t="s">
        <v>291</v>
      </c>
      <c r="B10" s="632"/>
      <c r="C10" s="632"/>
      <c r="D10" s="632"/>
      <c r="E10" s="632"/>
      <c r="F10" s="632"/>
      <c r="G10" s="632"/>
      <c r="H10" s="632"/>
      <c r="I10" s="632"/>
      <c r="J10" s="201"/>
    </row>
    <row r="11" spans="1:17" ht="15.75" x14ac:dyDescent="0.25">
      <c r="A11" s="79"/>
      <c r="C11" s="141" t="s">
        <v>173</v>
      </c>
      <c r="D11" s="29"/>
      <c r="E11" s="141" t="s">
        <v>174</v>
      </c>
      <c r="F11" s="29"/>
      <c r="G11" s="141" t="s">
        <v>175</v>
      </c>
      <c r="I11" s="141" t="s">
        <v>5</v>
      </c>
      <c r="J11" s="77"/>
    </row>
    <row r="12" spans="1:17" x14ac:dyDescent="0.2">
      <c r="A12" s="79"/>
      <c r="J12" s="77"/>
    </row>
    <row r="13" spans="1:17" x14ac:dyDescent="0.2">
      <c r="A13" s="202" t="s">
        <v>181</v>
      </c>
      <c r="C13" s="359">
        <v>0</v>
      </c>
      <c r="D13" s="203"/>
      <c r="E13" s="205">
        <f>ROUND((P6*'RESA Proportion'!G20),0)</f>
        <v>0</v>
      </c>
      <c r="F13" s="203"/>
      <c r="G13" s="359">
        <v>0</v>
      </c>
      <c r="H13" s="204"/>
      <c r="I13" s="205">
        <f>C13+E13+G13</f>
        <v>0</v>
      </c>
      <c r="J13" s="77"/>
      <c r="K13" s="23"/>
    </row>
    <row r="14" spans="1:17" x14ac:dyDescent="0.2">
      <c r="A14" s="79"/>
      <c r="C14" s="203"/>
      <c r="D14" s="203"/>
      <c r="E14" s="203"/>
      <c r="F14" s="203"/>
      <c r="G14" s="203"/>
      <c r="H14" s="204"/>
      <c r="I14" s="205"/>
      <c r="J14" s="77"/>
    </row>
    <row r="15" spans="1:17" x14ac:dyDescent="0.2">
      <c r="A15" s="202" t="s">
        <v>178</v>
      </c>
      <c r="C15" s="203">
        <f>C17-C13</f>
        <v>0</v>
      </c>
      <c r="D15" s="203"/>
      <c r="E15" s="203">
        <f>E17-E13</f>
        <v>0</v>
      </c>
      <c r="F15" s="203"/>
      <c r="G15" s="203">
        <f>G17-G13</f>
        <v>0</v>
      </c>
      <c r="H15" s="204"/>
      <c r="I15" s="205">
        <f>C15+E15+G15</f>
        <v>0</v>
      </c>
      <c r="J15" s="77"/>
      <c r="K15" s="23" t="s">
        <v>370</v>
      </c>
    </row>
    <row r="16" spans="1:17" x14ac:dyDescent="0.2">
      <c r="A16" s="79"/>
      <c r="C16" s="203"/>
      <c r="D16" s="203"/>
      <c r="E16" s="203"/>
      <c r="F16" s="203"/>
      <c r="G16" s="203"/>
      <c r="H16" s="204"/>
      <c r="I16" s="204"/>
      <c r="J16" s="77"/>
    </row>
    <row r="17" spans="1:11" ht="15.75" thickBot="1" x14ac:dyDescent="0.25">
      <c r="A17" s="202" t="s">
        <v>180</v>
      </c>
      <c r="C17" s="206">
        <f>ROUND('Net LEA Amounts'!C33,0)</f>
        <v>0</v>
      </c>
      <c r="D17" s="205"/>
      <c r="E17" s="206">
        <f>ROUND('Net LEA Amounts'!C31,0)</f>
        <v>0</v>
      </c>
      <c r="F17" s="205"/>
      <c r="G17" s="206">
        <f>ROUND('Net LEA Amounts'!C29,0)</f>
        <v>0</v>
      </c>
      <c r="H17" s="205"/>
      <c r="I17" s="206">
        <f>SUM(I13:I16)</f>
        <v>0</v>
      </c>
      <c r="J17" s="77"/>
    </row>
    <row r="18" spans="1:11" ht="6.75" customHeight="1" thickTop="1" thickBot="1" x14ac:dyDescent="0.25">
      <c r="A18" s="199"/>
      <c r="B18" s="45"/>
      <c r="C18" s="207"/>
      <c r="D18" s="207"/>
      <c r="E18" s="207"/>
      <c r="F18" s="207"/>
      <c r="G18" s="207"/>
      <c r="H18" s="45"/>
      <c r="I18" s="45"/>
      <c r="J18" s="192"/>
    </row>
    <row r="19" spans="1:11" x14ac:dyDescent="0.2">
      <c r="A19" s="23"/>
      <c r="C19" s="5"/>
      <c r="D19" s="5"/>
      <c r="E19" s="5"/>
      <c r="F19" s="5"/>
      <c r="G19" s="5"/>
    </row>
    <row r="20" spans="1:11" ht="15.75" thickBot="1" x14ac:dyDescent="0.25">
      <c r="C20" s="5"/>
      <c r="D20" s="5"/>
      <c r="E20" s="5"/>
      <c r="F20" s="5"/>
      <c r="G20" s="5"/>
    </row>
    <row r="21" spans="1:11" ht="16.5" thickBot="1" x14ac:dyDescent="0.3">
      <c r="A21" s="631" t="s">
        <v>292</v>
      </c>
      <c r="B21" s="632"/>
      <c r="C21" s="632"/>
      <c r="D21" s="632"/>
      <c r="E21" s="632"/>
      <c r="F21" s="632"/>
      <c r="G21" s="632"/>
      <c r="H21" s="632"/>
      <c r="I21" s="632"/>
      <c r="J21" s="201"/>
    </row>
    <row r="22" spans="1:11" ht="15.75" x14ac:dyDescent="0.25">
      <c r="A22" s="79"/>
      <c r="C22" s="141" t="s">
        <v>173</v>
      </c>
      <c r="D22" s="29"/>
      <c r="E22" s="141" t="s">
        <v>174</v>
      </c>
      <c r="F22" s="29"/>
      <c r="G22" s="141" t="s">
        <v>175</v>
      </c>
      <c r="I22" s="141" t="s">
        <v>5</v>
      </c>
      <c r="J22" s="77"/>
    </row>
    <row r="23" spans="1:11" x14ac:dyDescent="0.2">
      <c r="A23" s="79"/>
      <c r="J23" s="77"/>
    </row>
    <row r="24" spans="1:11" x14ac:dyDescent="0.2">
      <c r="A24" s="202" t="s">
        <v>181</v>
      </c>
      <c r="C24" s="391">
        <v>0</v>
      </c>
      <c r="D24" s="203"/>
      <c r="E24" s="359">
        <v>0</v>
      </c>
      <c r="F24" s="203"/>
      <c r="G24" s="359">
        <v>0</v>
      </c>
      <c r="H24" s="204"/>
      <c r="I24" s="205">
        <f>C24+E24+G24</f>
        <v>0</v>
      </c>
      <c r="J24" s="77"/>
      <c r="K24" s="23"/>
    </row>
    <row r="25" spans="1:11" x14ac:dyDescent="0.2">
      <c r="A25" s="79"/>
      <c r="C25" s="203"/>
      <c r="D25" s="203"/>
      <c r="E25" s="203"/>
      <c r="F25" s="203"/>
      <c r="G25" s="203"/>
      <c r="H25" s="204"/>
      <c r="I25" s="205"/>
      <c r="J25" s="77"/>
    </row>
    <row r="26" spans="1:11" x14ac:dyDescent="0.2">
      <c r="A26" s="202" t="s">
        <v>290</v>
      </c>
      <c r="C26" s="203">
        <f>-C24-C28+C30</f>
        <v>0</v>
      </c>
      <c r="D26" s="203"/>
      <c r="E26" s="203">
        <f>E30-E24</f>
        <v>0</v>
      </c>
      <c r="F26" s="203"/>
      <c r="G26" s="203">
        <f>-G24-G28+G30</f>
        <v>0</v>
      </c>
      <c r="H26" s="204"/>
      <c r="I26" s="205">
        <f>C26+E26+G26</f>
        <v>0</v>
      </c>
      <c r="J26" s="77"/>
      <c r="K26" s="23" t="s">
        <v>370</v>
      </c>
    </row>
    <row r="27" spans="1:11" x14ac:dyDescent="0.2">
      <c r="A27" s="79"/>
      <c r="C27" s="203"/>
      <c r="D27" s="203"/>
      <c r="E27" s="203"/>
      <c r="F27" s="203"/>
      <c r="G27" s="203"/>
      <c r="H27" s="204"/>
      <c r="I27" s="205"/>
      <c r="J27" s="77"/>
    </row>
    <row r="28" spans="1:11" x14ac:dyDescent="0.2">
      <c r="A28" s="202" t="s">
        <v>182</v>
      </c>
      <c r="C28" s="203">
        <f>'OPEB Contr Input - LEA'!K62-'OPEB Contr Input - LEA'!L68</f>
        <v>0</v>
      </c>
      <c r="D28" s="203"/>
      <c r="E28" s="203">
        <f>'OPEB Contr Input - RESA'!K62-'OPEB Contr Input - RESA'!I68</f>
        <v>0</v>
      </c>
      <c r="F28" s="203"/>
      <c r="G28" s="203">
        <f>'OPEB Contr Input - MCVC'!K62-'OPEB Contr Input - MCVC'!I68</f>
        <v>0</v>
      </c>
      <c r="H28" s="204"/>
      <c r="I28" s="205">
        <f>C28+E28+G28</f>
        <v>0</v>
      </c>
      <c r="J28" s="77"/>
      <c r="K28" s="23" t="s">
        <v>305</v>
      </c>
    </row>
    <row r="29" spans="1:11" x14ac:dyDescent="0.2">
      <c r="A29" s="79"/>
      <c r="C29" s="203"/>
      <c r="D29" s="203"/>
      <c r="E29" s="203"/>
      <c r="F29" s="203"/>
      <c r="G29" s="203"/>
      <c r="H29" s="204"/>
      <c r="I29" s="205"/>
      <c r="J29" s="77"/>
    </row>
    <row r="30" spans="1:11" ht="15.75" thickBot="1" x14ac:dyDescent="0.25">
      <c r="A30" s="202" t="s">
        <v>180</v>
      </c>
      <c r="C30" s="206">
        <f>'Net LEA Amounts'!L33+C28</f>
        <v>0</v>
      </c>
      <c r="D30" s="205"/>
      <c r="E30" s="206">
        <f>'Net LEA Amounts'!L31</f>
        <v>0</v>
      </c>
      <c r="F30" s="205"/>
      <c r="G30" s="206">
        <f>'Net LEA Amounts'!L29+G28</f>
        <v>0</v>
      </c>
      <c r="H30" s="205"/>
      <c r="I30" s="206">
        <f>SUM(I24:I29)</f>
        <v>0</v>
      </c>
      <c r="J30" s="77"/>
    </row>
    <row r="31" spans="1:11" ht="16.5" thickTop="1" thickBot="1" x14ac:dyDescent="0.25">
      <c r="A31" s="199"/>
      <c r="B31" s="45"/>
      <c r="C31" s="207"/>
      <c r="D31" s="207"/>
      <c r="E31" s="207"/>
      <c r="F31" s="207"/>
      <c r="G31" s="207"/>
      <c r="H31" s="45"/>
      <c r="I31" s="45"/>
      <c r="J31" s="192"/>
    </row>
    <row r="32" spans="1:11" x14ac:dyDescent="0.2">
      <c r="C32" s="208"/>
      <c r="D32" s="5"/>
      <c r="E32" s="5"/>
      <c r="F32" s="5"/>
      <c r="G32" s="5"/>
    </row>
    <row r="33" spans="1:11" ht="15.75" thickBot="1" x14ac:dyDescent="0.25">
      <c r="C33" s="5"/>
      <c r="D33" s="5"/>
      <c r="E33" s="5"/>
      <c r="F33" s="5"/>
      <c r="G33" s="5"/>
    </row>
    <row r="34" spans="1:11" ht="16.5" thickBot="1" x14ac:dyDescent="0.3">
      <c r="A34" s="631" t="s">
        <v>293</v>
      </c>
      <c r="B34" s="632"/>
      <c r="C34" s="632"/>
      <c r="D34" s="632"/>
      <c r="E34" s="632"/>
      <c r="F34" s="632"/>
      <c r="G34" s="632"/>
      <c r="H34" s="632"/>
      <c r="I34" s="632"/>
      <c r="J34" s="201"/>
    </row>
    <row r="35" spans="1:11" ht="15.75" x14ac:dyDescent="0.25">
      <c r="A35" s="79"/>
      <c r="C35" s="141" t="s">
        <v>173</v>
      </c>
      <c r="D35" s="29"/>
      <c r="E35" s="141" t="s">
        <v>174</v>
      </c>
      <c r="F35" s="29"/>
      <c r="G35" s="141" t="s">
        <v>175</v>
      </c>
      <c r="I35" s="141" t="s">
        <v>5</v>
      </c>
      <c r="J35" s="77"/>
    </row>
    <row r="36" spans="1:11" x14ac:dyDescent="0.2">
      <c r="A36" s="79"/>
      <c r="J36" s="77"/>
    </row>
    <row r="37" spans="1:11" x14ac:dyDescent="0.2">
      <c r="A37" s="202" t="s">
        <v>181</v>
      </c>
      <c r="C37" s="391">
        <v>0</v>
      </c>
      <c r="D37" s="203"/>
      <c r="E37" s="359">
        <v>0</v>
      </c>
      <c r="F37" s="203"/>
      <c r="G37" s="359">
        <v>0</v>
      </c>
      <c r="H37" s="204"/>
      <c r="I37" s="205">
        <f>C37+E37+G37</f>
        <v>0</v>
      </c>
      <c r="J37" s="77"/>
      <c r="K37" s="23"/>
    </row>
    <row r="38" spans="1:11" x14ac:dyDescent="0.2">
      <c r="A38" s="79"/>
      <c r="C38" s="203"/>
      <c r="D38" s="203"/>
      <c r="E38" s="203"/>
      <c r="F38" s="203"/>
      <c r="G38" s="203"/>
      <c r="H38" s="204"/>
      <c r="I38" s="205"/>
      <c r="J38" s="77"/>
    </row>
    <row r="39" spans="1:11" x14ac:dyDescent="0.2">
      <c r="A39" s="202" t="s">
        <v>178</v>
      </c>
      <c r="C39" s="203">
        <f>C41-C37</f>
        <v>0</v>
      </c>
      <c r="D39" s="203"/>
      <c r="E39" s="203">
        <f>E41-E37</f>
        <v>0</v>
      </c>
      <c r="F39" s="203"/>
      <c r="G39" s="203">
        <f>G41-G37</f>
        <v>0</v>
      </c>
      <c r="H39" s="204"/>
      <c r="I39" s="205">
        <f>C39+E39+G39</f>
        <v>0</v>
      </c>
      <c r="J39" s="77"/>
      <c r="K39" s="23" t="s">
        <v>370</v>
      </c>
    </row>
    <row r="40" spans="1:11" x14ac:dyDescent="0.2">
      <c r="A40" s="79"/>
      <c r="C40" s="203"/>
      <c r="D40" s="203"/>
      <c r="E40" s="203"/>
      <c r="F40" s="203"/>
      <c r="G40" s="203"/>
      <c r="H40" s="204"/>
      <c r="I40" s="204"/>
      <c r="J40" s="77"/>
    </row>
    <row r="41" spans="1:11" ht="15.75" thickBot="1" x14ac:dyDescent="0.25">
      <c r="A41" s="202" t="s">
        <v>180</v>
      </c>
      <c r="C41" s="206">
        <f>'Net LEA Amounts'!X33</f>
        <v>0</v>
      </c>
      <c r="D41" s="205"/>
      <c r="E41" s="206">
        <f>'Net LEA Amounts'!X31</f>
        <v>0</v>
      </c>
      <c r="F41" s="205"/>
      <c r="G41" s="206">
        <f>'Net LEA Amounts'!X29</f>
        <v>0</v>
      </c>
      <c r="H41" s="205"/>
      <c r="I41" s="206">
        <f>SUM(I37:I40)</f>
        <v>0</v>
      </c>
      <c r="J41" s="77"/>
    </row>
    <row r="42" spans="1:11" ht="16.5" thickTop="1" thickBot="1" x14ac:dyDescent="0.25">
      <c r="A42" s="199"/>
      <c r="B42" s="45"/>
      <c r="C42" s="207"/>
      <c r="D42" s="207"/>
      <c r="E42" s="207"/>
      <c r="F42" s="207"/>
      <c r="G42" s="207"/>
      <c r="H42" s="45"/>
      <c r="I42" s="45"/>
      <c r="J42" s="192"/>
    </row>
    <row r="44" spans="1:11" x14ac:dyDescent="0.2">
      <c r="C44" s="26"/>
    </row>
    <row r="45" spans="1:11" x14ac:dyDescent="0.2">
      <c r="C45" s="26"/>
    </row>
    <row r="46" spans="1:11" x14ac:dyDescent="0.2">
      <c r="I46" s="26">
        <f>I30-I28-I41</f>
        <v>0</v>
      </c>
      <c r="K46" s="23" t="s">
        <v>371</v>
      </c>
    </row>
    <row r="47" spans="1:11" x14ac:dyDescent="0.2">
      <c r="I47" s="249">
        <f>'GASB 75 Sch Input CY'!L15-'GASB 75 Sch Input CY'!X15</f>
        <v>0</v>
      </c>
      <c r="K47" s="23" t="s">
        <v>306</v>
      </c>
    </row>
    <row r="48" spans="1:11" x14ac:dyDescent="0.2">
      <c r="I48" s="26">
        <f>I46-I47</f>
        <v>0</v>
      </c>
      <c r="K48" s="23" t="s">
        <v>67</v>
      </c>
    </row>
    <row r="49" spans="9:11" x14ac:dyDescent="0.2">
      <c r="I49" s="357">
        <f>ROUND('Change in Proportion - LEAs'!AC90+'Change in Proportion - MCVCs'!AC88,0)</f>
        <v>0</v>
      </c>
      <c r="K49" s="23" t="s">
        <v>400</v>
      </c>
    </row>
    <row r="50" spans="9:11" x14ac:dyDescent="0.2">
      <c r="I50" s="26">
        <f>Net_Deferred_In_Outflows_Reconcile-I49</f>
        <v>0</v>
      </c>
      <c r="K50" s="23" t="s">
        <v>403</v>
      </c>
    </row>
  </sheetData>
  <sheetProtection algorithmName="SHA-512" hashValue="+lEjYOZ/k5vDbjpFji9s8THm+Fvc1iwt+wrs8pRGmPNuanAppc+OKHqrT+Y1MNwAacBwyefO2HlncsSuXKBCYw==" saltValue="ardRKy/JKy8Rd2FQYopA3w==" spinCount="100000" sheet="1" objects="1" scenarios="1"/>
  <mergeCells count="4">
    <mergeCell ref="A10:I10"/>
    <mergeCell ref="A21:I21"/>
    <mergeCell ref="A34:I34"/>
    <mergeCell ref="A4:I8"/>
  </mergeCells>
  <pageMargins left="0.7" right="0.7" top="0.75" bottom="0.75" header="0.3" footer="0.3"/>
  <pageSetup orientation="portrait" horizontalDpi="4294967295" verticalDpi="4294967295" r:id="rId1"/>
  <cellWatches>
    <cellWatch r="I48"/>
  </cellWatche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2:AD121"/>
  <sheetViews>
    <sheetView zoomScale="85" zoomScaleNormal="85" workbookViewId="0">
      <selection activeCell="K8" sqref="K8"/>
    </sheetView>
  </sheetViews>
  <sheetFormatPr defaultColWidth="8.88671875" defaultRowHeight="15" x14ac:dyDescent="0.2"/>
  <cols>
    <col min="1" max="1" width="64.44140625" customWidth="1"/>
    <col min="2" max="2" width="1" customWidth="1"/>
    <col min="3" max="3" width="13" customWidth="1"/>
    <col min="4" max="4" width="12.88671875" customWidth="1"/>
    <col min="5" max="5" width="13.77734375" customWidth="1"/>
    <col min="6" max="6" width="13" customWidth="1"/>
    <col min="7" max="7" width="14.5546875" customWidth="1"/>
    <col min="8" max="9" width="12.77734375" bestFit="1" customWidth="1"/>
    <col min="10" max="10" width="12.77734375" customWidth="1"/>
    <col min="11" max="11" width="15.88671875" customWidth="1"/>
    <col min="12" max="12" width="1.77734375" customWidth="1"/>
    <col min="13" max="13" width="2" customWidth="1"/>
    <col min="14" max="14" width="10.77734375" customWidth="1"/>
    <col min="15" max="15" width="12.21875" bestFit="1" customWidth="1"/>
    <col min="16" max="16" width="10.6640625" bestFit="1" customWidth="1"/>
    <col min="17" max="17" width="11.21875" customWidth="1"/>
    <col min="18" max="18" width="1.21875" customWidth="1"/>
    <col min="19" max="19" width="10.88671875" customWidth="1"/>
    <col min="20" max="20" width="12.109375" customWidth="1"/>
    <col min="22" max="22" width="11.88671875" customWidth="1"/>
    <col min="23" max="23" width="12.33203125" bestFit="1" customWidth="1"/>
    <col min="24" max="24" width="10.5546875" bestFit="1" customWidth="1"/>
    <col min="25" max="25" width="10.6640625" customWidth="1"/>
    <col min="27" max="27" width="10.88671875" customWidth="1"/>
    <col min="28" max="28" width="10.77734375" customWidth="1"/>
    <col min="29" max="29" width="17.21875" customWidth="1"/>
    <col min="30" max="30" width="17.88671875" customWidth="1"/>
  </cols>
  <sheetData>
    <row r="2" spans="1:20" ht="18" x14ac:dyDescent="0.25">
      <c r="A2" s="22" t="s">
        <v>123</v>
      </c>
      <c r="C2" s="21" t="s">
        <v>16</v>
      </c>
    </row>
    <row r="3" spans="1:20" ht="18" x14ac:dyDescent="0.25">
      <c r="C3" s="21" t="str">
        <f>'Summary of GASB 75 Activity'!A2</f>
        <v>Password for protected sheet: BOE2025</v>
      </c>
    </row>
    <row r="5" spans="1:20" ht="15.75" x14ac:dyDescent="0.25">
      <c r="E5" s="29">
        <f t="shared" ref="E5:J5" si="0">E17</f>
        <v>2022</v>
      </c>
      <c r="F5" s="29">
        <f t="shared" si="0"/>
        <v>2021</v>
      </c>
      <c r="G5" s="29">
        <f t="shared" si="0"/>
        <v>2020</v>
      </c>
      <c r="H5" s="29">
        <f t="shared" si="0"/>
        <v>2019</v>
      </c>
      <c r="I5" s="29">
        <f t="shared" si="0"/>
        <v>2018</v>
      </c>
      <c r="J5" s="29">
        <f t="shared" si="0"/>
        <v>2017</v>
      </c>
      <c r="K5" s="29">
        <f t="shared" ref="K5" si="1">K17</f>
        <v>2016</v>
      </c>
    </row>
    <row r="6" spans="1:20" ht="15.75" x14ac:dyDescent="0.25">
      <c r="D6" s="363" t="s">
        <v>174</v>
      </c>
      <c r="E6" s="405" t="s">
        <v>482</v>
      </c>
      <c r="F6" s="405" t="s">
        <v>482</v>
      </c>
      <c r="G6" s="405" t="s">
        <v>482</v>
      </c>
      <c r="H6" s="405" t="s">
        <v>482</v>
      </c>
      <c r="I6" s="405" t="s">
        <v>482</v>
      </c>
      <c r="J6" s="366">
        <v>0</v>
      </c>
      <c r="K6" s="366">
        <v>0</v>
      </c>
    </row>
    <row r="7" spans="1:20" ht="16.5" thickBot="1" x14ac:dyDescent="0.3">
      <c r="A7" s="209" t="s">
        <v>103</v>
      </c>
      <c r="C7" s="210">
        <v>2025</v>
      </c>
      <c r="D7" s="363" t="s">
        <v>173</v>
      </c>
      <c r="E7" s="360">
        <v>0</v>
      </c>
      <c r="F7" s="360">
        <v>0</v>
      </c>
      <c r="G7" s="360">
        <v>0</v>
      </c>
      <c r="H7" s="360">
        <v>0</v>
      </c>
      <c r="I7" s="360">
        <v>0</v>
      </c>
      <c r="J7" s="360">
        <v>0</v>
      </c>
      <c r="K7" s="422">
        <v>0</v>
      </c>
    </row>
    <row r="8" spans="1:20" ht="16.5" thickBot="1" x14ac:dyDescent="0.3">
      <c r="A8" s="23"/>
      <c r="N8" s="631" t="s">
        <v>190</v>
      </c>
      <c r="O8" s="632"/>
      <c r="P8" s="632"/>
      <c r="Q8" s="632"/>
      <c r="R8" s="632"/>
      <c r="S8" s="632"/>
      <c r="T8" s="633"/>
    </row>
    <row r="9" spans="1:20" ht="15.75" customHeight="1" thickBot="1" x14ac:dyDescent="0.25">
      <c r="A9" s="337"/>
      <c r="C9" s="621" t="s">
        <v>674</v>
      </c>
      <c r="D9" s="621"/>
      <c r="E9" s="621"/>
      <c r="F9" s="621"/>
      <c r="G9" s="621"/>
      <c r="H9" s="621"/>
      <c r="I9" s="621"/>
      <c r="J9" s="621"/>
    </row>
    <row r="10" spans="1:20" x14ac:dyDescent="0.2">
      <c r="A10" s="367"/>
      <c r="C10" s="621"/>
      <c r="D10" s="621"/>
      <c r="E10" s="621"/>
      <c r="F10" s="621"/>
      <c r="G10" s="621"/>
      <c r="H10" s="621"/>
      <c r="I10" s="621"/>
      <c r="J10" s="621"/>
      <c r="N10" s="74" t="s">
        <v>107</v>
      </c>
      <c r="O10" s="75"/>
      <c r="P10" s="75"/>
      <c r="Q10" s="75"/>
      <c r="R10" s="75"/>
      <c r="S10" s="96"/>
      <c r="T10" s="76"/>
    </row>
    <row r="11" spans="1:20" ht="15.75" x14ac:dyDescent="0.25">
      <c r="A11" s="367"/>
      <c r="C11" s="621"/>
      <c r="D11" s="621"/>
      <c r="E11" s="621"/>
      <c r="F11" s="621"/>
      <c r="G11" s="621"/>
      <c r="H11" s="621"/>
      <c r="I11" s="621"/>
      <c r="J11" s="621"/>
      <c r="N11" s="79"/>
      <c r="S11" s="97" t="s">
        <v>72</v>
      </c>
      <c r="T11" s="98" t="s">
        <v>72</v>
      </c>
    </row>
    <row r="12" spans="1:20" ht="15.75" customHeight="1" x14ac:dyDescent="0.25">
      <c r="A12" s="367"/>
      <c r="C12" s="621"/>
      <c r="D12" s="621"/>
      <c r="E12" s="621"/>
      <c r="F12" s="621"/>
      <c r="G12" s="621"/>
      <c r="H12" s="621"/>
      <c r="I12" s="621"/>
      <c r="J12" s="621"/>
      <c r="N12" s="99" t="s">
        <v>108</v>
      </c>
      <c r="O12" s="100" t="s">
        <v>104</v>
      </c>
      <c r="P12" s="100" t="s">
        <v>105</v>
      </c>
      <c r="Q12" s="100" t="s">
        <v>106</v>
      </c>
      <c r="S12" s="97" t="s">
        <v>129</v>
      </c>
      <c r="T12" s="98" t="s">
        <v>130</v>
      </c>
    </row>
    <row r="13" spans="1:20" x14ac:dyDescent="0.2">
      <c r="C13" s="621"/>
      <c r="D13" s="621"/>
      <c r="E13" s="621"/>
      <c r="F13" s="621"/>
      <c r="G13" s="621"/>
      <c r="H13" s="621"/>
      <c r="I13" s="621"/>
      <c r="J13" s="621"/>
      <c r="N13" s="101">
        <f>C7-1</f>
        <v>2024</v>
      </c>
      <c r="O13" s="102">
        <f>C31</f>
        <v>0</v>
      </c>
      <c r="P13" s="102">
        <f>ROUND(IF(O13=0,0,O13/$C$26),0)</f>
        <v>0</v>
      </c>
      <c r="Q13" s="102">
        <f t="shared" ref="Q13:Q19" si="2">O13-P13</f>
        <v>0</v>
      </c>
      <c r="S13" s="103">
        <f t="shared" ref="S13:S19" si="3">IF(Q13&gt;0,Q13,0)</f>
        <v>0</v>
      </c>
      <c r="T13" s="104">
        <f>IF(Q13&lt;0,Q13,0)</f>
        <v>0</v>
      </c>
    </row>
    <row r="14" spans="1:20" ht="22.5" customHeight="1" x14ac:dyDescent="0.2">
      <c r="C14" s="621"/>
      <c r="D14" s="621"/>
      <c r="E14" s="621"/>
      <c r="F14" s="621"/>
      <c r="G14" s="621"/>
      <c r="H14" s="621"/>
      <c r="I14" s="621"/>
      <c r="J14" s="621"/>
      <c r="N14" s="101">
        <f t="shared" ref="N14:N19" si="4">N13+1</f>
        <v>2025</v>
      </c>
      <c r="O14" s="102">
        <f t="shared" ref="O14:O19" si="5">Q13</f>
        <v>0</v>
      </c>
      <c r="P14" s="102">
        <f>IF($C$26&lt;=2,Q13,P13)</f>
        <v>0</v>
      </c>
      <c r="Q14" s="102">
        <f t="shared" si="2"/>
        <v>0</v>
      </c>
      <c r="S14" s="103">
        <f t="shared" si="3"/>
        <v>0</v>
      </c>
      <c r="T14" s="104">
        <f t="shared" ref="T14:T19" si="6">IF(Q14&lt;0,Q14,0)</f>
        <v>0</v>
      </c>
    </row>
    <row r="15" spans="1:20" ht="15.75" thickBot="1" x14ac:dyDescent="0.25">
      <c r="N15" s="101">
        <f t="shared" si="4"/>
        <v>2026</v>
      </c>
      <c r="O15" s="102">
        <f t="shared" si="5"/>
        <v>0</v>
      </c>
      <c r="P15" s="102">
        <f>IF($C$26&lt;=3,Q14,P14)</f>
        <v>0</v>
      </c>
      <c r="Q15" s="102">
        <f t="shared" si="2"/>
        <v>0</v>
      </c>
      <c r="S15" s="103">
        <f t="shared" si="3"/>
        <v>0</v>
      </c>
      <c r="T15" s="104">
        <f t="shared" si="6"/>
        <v>0</v>
      </c>
    </row>
    <row r="16" spans="1:20" ht="15.75" customHeight="1" thickBot="1" x14ac:dyDescent="0.3">
      <c r="A16" s="74"/>
      <c r="B16" s="75"/>
      <c r="C16" s="636" t="s">
        <v>94</v>
      </c>
      <c r="D16" s="637"/>
      <c r="E16" s="637"/>
      <c r="F16" s="637"/>
      <c r="G16" s="637"/>
      <c r="H16" s="637"/>
      <c r="I16" s="637"/>
      <c r="J16" s="637"/>
      <c r="K16" s="638"/>
      <c r="N16" s="101">
        <f t="shared" si="4"/>
        <v>2027</v>
      </c>
      <c r="O16" s="102">
        <f t="shared" si="5"/>
        <v>0</v>
      </c>
      <c r="P16" s="102">
        <f>IF($C$26&lt;=4,Q15,P15)</f>
        <v>0</v>
      </c>
      <c r="Q16" s="102">
        <f t="shared" si="2"/>
        <v>0</v>
      </c>
      <c r="S16" s="103">
        <f t="shared" si="3"/>
        <v>0</v>
      </c>
      <c r="T16" s="104">
        <f t="shared" si="6"/>
        <v>0</v>
      </c>
    </row>
    <row r="17" spans="1:30" ht="15.75" x14ac:dyDescent="0.25">
      <c r="A17" s="79"/>
      <c r="C17" s="453">
        <f>C7-1</f>
        <v>2024</v>
      </c>
      <c r="D17" s="214">
        <f>C17-1</f>
        <v>2023</v>
      </c>
      <c r="E17" s="453">
        <f>C17-2</f>
        <v>2022</v>
      </c>
      <c r="F17" s="365">
        <f>C17-3</f>
        <v>2021</v>
      </c>
      <c r="G17" s="365">
        <f>C17-4</f>
        <v>2020</v>
      </c>
      <c r="H17" s="365">
        <f>C17-5</f>
        <v>2019</v>
      </c>
      <c r="I17" s="365">
        <f>C17-6</f>
        <v>2018</v>
      </c>
      <c r="J17" s="365">
        <f>I17-1</f>
        <v>2017</v>
      </c>
      <c r="K17" s="365">
        <f>J17-1</f>
        <v>2016</v>
      </c>
      <c r="N17" s="101">
        <f t="shared" si="4"/>
        <v>2028</v>
      </c>
      <c r="O17" s="102">
        <f t="shared" si="5"/>
        <v>0</v>
      </c>
      <c r="P17" s="102">
        <f>IF($C$26&lt;=5,Q16,P16)</f>
        <v>0</v>
      </c>
      <c r="Q17" s="102">
        <f t="shared" si="2"/>
        <v>0</v>
      </c>
      <c r="S17" s="103">
        <f t="shared" si="3"/>
        <v>0</v>
      </c>
      <c r="T17" s="104">
        <f t="shared" si="6"/>
        <v>0</v>
      </c>
    </row>
    <row r="18" spans="1:30" ht="15.75" thickBot="1" x14ac:dyDescent="0.25">
      <c r="A18" s="79"/>
      <c r="C18" s="536" t="s">
        <v>95</v>
      </c>
      <c r="D18" s="537" t="s">
        <v>96</v>
      </c>
      <c r="E18" s="538" t="s">
        <v>97</v>
      </c>
      <c r="F18" s="539" t="s">
        <v>98</v>
      </c>
      <c r="G18" s="539" t="s">
        <v>99</v>
      </c>
      <c r="H18" s="539" t="s">
        <v>100</v>
      </c>
      <c r="I18" s="539" t="s">
        <v>101</v>
      </c>
      <c r="J18" s="539" t="s">
        <v>577</v>
      </c>
      <c r="K18" s="539" t="s">
        <v>673</v>
      </c>
      <c r="N18" s="101">
        <f t="shared" si="4"/>
        <v>2029</v>
      </c>
      <c r="O18" s="102">
        <f t="shared" si="5"/>
        <v>0</v>
      </c>
      <c r="P18" s="102">
        <f>IF($C$26&lt;=6,Q17,P17)</f>
        <v>0</v>
      </c>
      <c r="Q18" s="102">
        <f t="shared" si="2"/>
        <v>0</v>
      </c>
      <c r="S18" s="103">
        <f t="shared" si="3"/>
        <v>0</v>
      </c>
      <c r="T18" s="104">
        <f t="shared" si="6"/>
        <v>0</v>
      </c>
    </row>
    <row r="19" spans="1:30" ht="15.75" thickBot="1" x14ac:dyDescent="0.25">
      <c r="A19" s="213"/>
      <c r="C19" s="216"/>
      <c r="D19" s="217"/>
      <c r="E19" s="540"/>
      <c r="F19" s="540"/>
      <c r="G19" s="540"/>
      <c r="H19" s="540"/>
      <c r="I19" s="540"/>
      <c r="J19" s="540"/>
      <c r="K19" s="76"/>
      <c r="N19" s="105">
        <f t="shared" si="4"/>
        <v>2030</v>
      </c>
      <c r="O19" s="106">
        <f t="shared" si="5"/>
        <v>0</v>
      </c>
      <c r="P19" s="106">
        <f>IF($C$26&lt;=7,Q18,P18)</f>
        <v>0</v>
      </c>
      <c r="Q19" s="106">
        <f t="shared" si="2"/>
        <v>0</v>
      </c>
      <c r="R19" s="45"/>
      <c r="S19" s="107">
        <f t="shared" si="3"/>
        <v>0</v>
      </c>
      <c r="T19" s="108">
        <f t="shared" si="6"/>
        <v>0</v>
      </c>
    </row>
    <row r="20" spans="1:30" ht="15.75" thickBot="1" x14ac:dyDescent="0.25">
      <c r="A20" s="211" t="s">
        <v>125</v>
      </c>
      <c r="C20" s="225">
        <f>'Net LEA Amounts'!L13</f>
        <v>0</v>
      </c>
      <c r="D20" s="226">
        <f>'Net LEA Amounts'!L55</f>
        <v>0</v>
      </c>
      <c r="E20" s="226">
        <f>E7</f>
        <v>0</v>
      </c>
      <c r="F20" s="226">
        <f t="shared" ref="F20:I20" si="7">F7</f>
        <v>0</v>
      </c>
      <c r="G20" s="226">
        <f t="shared" si="7"/>
        <v>0</v>
      </c>
      <c r="H20" s="226">
        <f t="shared" si="7"/>
        <v>0</v>
      </c>
      <c r="I20" s="226">
        <f t="shared" si="7"/>
        <v>0</v>
      </c>
      <c r="J20" s="226">
        <f>J7+J6</f>
        <v>0</v>
      </c>
      <c r="K20" s="550">
        <f>K7+K6</f>
        <v>0</v>
      </c>
    </row>
    <row r="21" spans="1:30" ht="15.75" x14ac:dyDescent="0.25">
      <c r="A21" s="211" t="s">
        <v>236</v>
      </c>
      <c r="C21" s="103">
        <f>'GASB 75 Sch Input CY'!B39</f>
        <v>39551500</v>
      </c>
      <c r="D21" s="102">
        <f>'GASB 75 Sch Input PY '!B39</f>
        <v>100285314</v>
      </c>
      <c r="E21" s="102">
        <v>117575569</v>
      </c>
      <c r="F21" s="584">
        <v>182358271</v>
      </c>
      <c r="G21" s="584">
        <v>193288178</v>
      </c>
      <c r="H21" s="584">
        <v>206028203</v>
      </c>
      <c r="I21" s="584">
        <v>204349400</v>
      </c>
      <c r="J21" s="584">
        <v>205398348</v>
      </c>
      <c r="K21" s="420">
        <v>171066452</v>
      </c>
      <c r="N21" s="74" t="s">
        <v>109</v>
      </c>
      <c r="O21" s="75"/>
      <c r="P21" s="75"/>
      <c r="Q21" s="75"/>
      <c r="R21" s="75"/>
      <c r="S21" s="96"/>
      <c r="T21" s="76"/>
    </row>
    <row r="22" spans="1:30" ht="15.75" x14ac:dyDescent="0.25">
      <c r="A22" s="211" t="s">
        <v>327</v>
      </c>
      <c r="C22" s="103">
        <f>'GASB 75 Sch Input CY'!B21</f>
        <v>-41636097</v>
      </c>
      <c r="D22" s="102">
        <f>'GASB 75 Sch Input PY '!B21</f>
        <v>-158249117</v>
      </c>
      <c r="E22" s="102">
        <v>111298764</v>
      </c>
      <c r="F22" s="584">
        <v>-29734708</v>
      </c>
      <c r="G22" s="584">
        <v>441691746</v>
      </c>
      <c r="H22" s="584">
        <v>1659132325</v>
      </c>
      <c r="I22" s="584">
        <v>2145435896</v>
      </c>
      <c r="J22" s="584">
        <v>2458989093</v>
      </c>
      <c r="K22" s="420">
        <v>2483325251</v>
      </c>
      <c r="N22" s="79"/>
      <c r="S22" s="97" t="s">
        <v>72</v>
      </c>
      <c r="T22" s="98" t="s">
        <v>72</v>
      </c>
    </row>
    <row r="23" spans="1:30" ht="15.75" x14ac:dyDescent="0.25">
      <c r="A23" s="211" t="s">
        <v>237</v>
      </c>
      <c r="C23" s="103">
        <f>-'GASB 75 Sch Input CY'!L21</f>
        <v>-202009399</v>
      </c>
      <c r="D23" s="102">
        <f>-'GASB 75 Sch Input PY '!L21</f>
        <v>-129129854</v>
      </c>
      <c r="E23" s="102">
        <v>-225802245</v>
      </c>
      <c r="F23" s="584">
        <v>-140254176</v>
      </c>
      <c r="G23" s="584">
        <v>-276128003</v>
      </c>
      <c r="H23" s="584">
        <v>-351941932</v>
      </c>
      <c r="I23" s="584">
        <v>-385316441</v>
      </c>
      <c r="J23" s="584">
        <v>-340524610</v>
      </c>
      <c r="K23" s="420">
        <v>0</v>
      </c>
      <c r="N23" s="99" t="s">
        <v>108</v>
      </c>
      <c r="O23" s="100" t="s">
        <v>104</v>
      </c>
      <c r="P23" s="100" t="s">
        <v>105</v>
      </c>
      <c r="Q23" s="100" t="s">
        <v>106</v>
      </c>
      <c r="S23" s="97" t="s">
        <v>129</v>
      </c>
      <c r="T23" s="98" t="s">
        <v>130</v>
      </c>
    </row>
    <row r="24" spans="1:30" ht="15.75" x14ac:dyDescent="0.25">
      <c r="A24" s="211" t="s">
        <v>238</v>
      </c>
      <c r="C24" s="103">
        <f>'GASB 75 Sch Input CY'!X21</f>
        <v>179625375</v>
      </c>
      <c r="D24" s="102">
        <f>'GASB 75 Sch Input PY '!X21</f>
        <v>268541180</v>
      </c>
      <c r="E24" s="102">
        <v>561924601</v>
      </c>
      <c r="F24" s="584">
        <v>1179489814</v>
      </c>
      <c r="G24" s="584">
        <v>1525976058</v>
      </c>
      <c r="H24" s="584">
        <v>899827168</v>
      </c>
      <c r="I24" s="584">
        <v>670981914</v>
      </c>
      <c r="J24" s="584">
        <v>388005675</v>
      </c>
      <c r="K24" s="420">
        <v>0</v>
      </c>
      <c r="N24" s="101">
        <f>N13-1</f>
        <v>2023</v>
      </c>
      <c r="O24" s="102">
        <f>D31</f>
        <v>0</v>
      </c>
      <c r="P24" s="102">
        <f>ROUND(IF(O24=0,0,O24/D26),0)</f>
        <v>0</v>
      </c>
      <c r="Q24" s="102">
        <f t="shared" ref="Q24:Q30" si="8">O24-P24</f>
        <v>0</v>
      </c>
      <c r="S24" s="103">
        <f t="shared" ref="S24:S30" si="9">IF(Q24&gt;0,Q24,0)</f>
        <v>0</v>
      </c>
      <c r="T24" s="104">
        <f>IF(Q24&lt;0,Q24,0)</f>
        <v>0</v>
      </c>
      <c r="V24" s="23"/>
    </row>
    <row r="25" spans="1:30" ht="15.75" x14ac:dyDescent="0.25">
      <c r="A25" s="211" t="s">
        <v>559</v>
      </c>
      <c r="C25" s="103">
        <v>0</v>
      </c>
      <c r="D25" s="102">
        <v>0</v>
      </c>
      <c r="E25" s="102">
        <v>0</v>
      </c>
      <c r="F25" s="584">
        <v>-2647890</v>
      </c>
      <c r="G25" s="584">
        <v>0</v>
      </c>
      <c r="H25" s="584">
        <v>0</v>
      </c>
      <c r="I25" s="584">
        <v>0</v>
      </c>
      <c r="J25" s="584">
        <v>0</v>
      </c>
      <c r="K25" s="420">
        <v>0</v>
      </c>
      <c r="N25" s="101">
        <f t="shared" ref="N25:N30" si="10">N24+1</f>
        <v>2024</v>
      </c>
      <c r="O25" s="102">
        <f t="shared" ref="O25:O30" si="11">Q24</f>
        <v>0</v>
      </c>
      <c r="P25" s="102">
        <f>IF($D$26&lt;=2,Q24,P24)</f>
        <v>0</v>
      </c>
      <c r="Q25" s="102">
        <f t="shared" si="8"/>
        <v>0</v>
      </c>
      <c r="S25" s="103">
        <f t="shared" si="9"/>
        <v>0</v>
      </c>
      <c r="T25" s="104">
        <f t="shared" ref="T25:T30" si="12">IF(Q25&lt;0,Q25,0)</f>
        <v>0</v>
      </c>
      <c r="AA25" s="29"/>
      <c r="AB25" s="29"/>
    </row>
    <row r="26" spans="1:30" ht="15.75" x14ac:dyDescent="0.25">
      <c r="A26" s="202" t="s">
        <v>102</v>
      </c>
      <c r="C26" s="218">
        <f>'GASB 75 Sch Input CY'!F49</f>
        <v>3.4498000000000002</v>
      </c>
      <c r="D26" s="291">
        <v>3.6282999999999999</v>
      </c>
      <c r="E26" s="291">
        <v>3.573</v>
      </c>
      <c r="F26" s="585">
        <v>3.7949999999999999</v>
      </c>
      <c r="G26" s="585">
        <v>4.0481999999999996</v>
      </c>
      <c r="H26" s="585">
        <v>4.3013000000000003</v>
      </c>
      <c r="I26" s="585">
        <v>4.6369999999999996</v>
      </c>
      <c r="J26" s="585">
        <v>4.7140000000000004</v>
      </c>
      <c r="K26" s="586">
        <v>0</v>
      </c>
      <c r="N26" s="101">
        <f t="shared" si="10"/>
        <v>2025</v>
      </c>
      <c r="O26" s="102">
        <f t="shared" si="11"/>
        <v>0</v>
      </c>
      <c r="P26" s="102">
        <f>IF($D$26&lt;=3,Q25,P25)</f>
        <v>0</v>
      </c>
      <c r="Q26" s="102">
        <f t="shared" si="8"/>
        <v>0</v>
      </c>
      <c r="S26" s="103">
        <f t="shared" si="9"/>
        <v>0</v>
      </c>
      <c r="T26" s="104">
        <f t="shared" si="12"/>
        <v>0</v>
      </c>
      <c r="V26" s="100"/>
      <c r="W26" s="100"/>
      <c r="X26" s="100"/>
      <c r="Y26" s="100"/>
      <c r="AA26" s="29"/>
      <c r="AB26" s="29"/>
      <c r="AC26" s="408"/>
      <c r="AD26" s="408"/>
    </row>
    <row r="27" spans="1:30" x14ac:dyDescent="0.2">
      <c r="A27" s="202" t="s">
        <v>187</v>
      </c>
      <c r="C27" s="389">
        <f t="shared" ref="C27:H27" si="13">ROUND((C20-D20)*D23,8)</f>
        <v>0</v>
      </c>
      <c r="D27" s="374">
        <f t="shared" si="13"/>
        <v>0</v>
      </c>
      <c r="E27" s="374">
        <f t="shared" si="13"/>
        <v>0</v>
      </c>
      <c r="F27" s="374">
        <f t="shared" si="13"/>
        <v>0</v>
      </c>
      <c r="G27" s="374">
        <f t="shared" si="13"/>
        <v>0</v>
      </c>
      <c r="H27" s="374">
        <f t="shared" si="13"/>
        <v>0</v>
      </c>
      <c r="I27" s="374">
        <f t="shared" ref="I27:J27" si="14">ROUND((I20-J20)*J23,8)</f>
        <v>0</v>
      </c>
      <c r="J27" s="374">
        <f t="shared" si="14"/>
        <v>0</v>
      </c>
      <c r="K27" s="420">
        <v>0</v>
      </c>
      <c r="N27" s="101">
        <f t="shared" si="10"/>
        <v>2026</v>
      </c>
      <c r="O27" s="102">
        <f t="shared" si="11"/>
        <v>0</v>
      </c>
      <c r="P27" s="102">
        <f>IF($D$26&lt;=4,Q26,P26)</f>
        <v>0</v>
      </c>
      <c r="Q27" s="102">
        <f t="shared" si="8"/>
        <v>0</v>
      </c>
      <c r="S27" s="103">
        <f t="shared" si="9"/>
        <v>0</v>
      </c>
      <c r="T27" s="104">
        <f t="shared" si="12"/>
        <v>0</v>
      </c>
      <c r="V27" s="409"/>
      <c r="W27" s="102"/>
      <c r="X27" s="102"/>
      <c r="Y27" s="102"/>
      <c r="AA27" s="102"/>
      <c r="AB27" s="102"/>
      <c r="AC27" s="26"/>
      <c r="AD27" s="26"/>
    </row>
    <row r="28" spans="1:30" x14ac:dyDescent="0.2">
      <c r="A28" s="202" t="s">
        <v>188</v>
      </c>
      <c r="C28" s="389">
        <f t="shared" ref="C28:H28" si="15">ROUND((C20-D20)*D24,8)</f>
        <v>0</v>
      </c>
      <c r="D28" s="374">
        <f t="shared" si="15"/>
        <v>0</v>
      </c>
      <c r="E28" s="374">
        <f t="shared" si="15"/>
        <v>0</v>
      </c>
      <c r="F28" s="374">
        <f t="shared" si="15"/>
        <v>0</v>
      </c>
      <c r="G28" s="374">
        <f t="shared" si="15"/>
        <v>0</v>
      </c>
      <c r="H28" s="374">
        <f t="shared" si="15"/>
        <v>0</v>
      </c>
      <c r="I28" s="374">
        <f t="shared" ref="I28:J28" si="16">ROUND((I20-J20)*J24,8)</f>
        <v>0</v>
      </c>
      <c r="J28" s="374">
        <f t="shared" si="16"/>
        <v>0</v>
      </c>
      <c r="K28" s="420">
        <v>0</v>
      </c>
      <c r="N28" s="101">
        <f t="shared" si="10"/>
        <v>2027</v>
      </c>
      <c r="O28" s="102">
        <f t="shared" si="11"/>
        <v>0</v>
      </c>
      <c r="P28" s="102">
        <f>IF($D$26&lt;=5,Q27,P27)</f>
        <v>0</v>
      </c>
      <c r="Q28" s="102">
        <f t="shared" si="8"/>
        <v>0</v>
      </c>
      <c r="S28" s="103">
        <f t="shared" si="9"/>
        <v>0</v>
      </c>
      <c r="T28" s="104">
        <f t="shared" si="12"/>
        <v>0</v>
      </c>
    </row>
    <row r="29" spans="1:30" ht="15.75" customHeight="1" x14ac:dyDescent="0.2">
      <c r="A29" s="212" t="s">
        <v>337</v>
      </c>
      <c r="C29" s="389">
        <f>ROUND((C20-D20)*D22,8)</f>
        <v>0</v>
      </c>
      <c r="D29" s="219">
        <f>ROUND((D20-E20)*E22,8)</f>
        <v>0</v>
      </c>
      <c r="E29" s="102">
        <f t="shared" ref="E29:J29" si="17">ROUND((E20-F20)*F22,8)</f>
        <v>0</v>
      </c>
      <c r="F29" s="102">
        <f t="shared" si="17"/>
        <v>0</v>
      </c>
      <c r="G29" s="102">
        <f t="shared" si="17"/>
        <v>0</v>
      </c>
      <c r="H29" s="102">
        <f t="shared" si="17"/>
        <v>0</v>
      </c>
      <c r="I29" s="102">
        <f t="shared" si="17"/>
        <v>0</v>
      </c>
      <c r="J29" s="102">
        <f t="shared" si="17"/>
        <v>0</v>
      </c>
      <c r="K29" s="104">
        <v>0</v>
      </c>
      <c r="N29" s="101">
        <f>N28+1</f>
        <v>2028</v>
      </c>
      <c r="O29" s="102">
        <f>Q28</f>
        <v>0</v>
      </c>
      <c r="P29" s="102">
        <f>IF($D$26&lt;=6,Q28,P28)</f>
        <v>0</v>
      </c>
      <c r="Q29" s="102">
        <f t="shared" si="8"/>
        <v>0</v>
      </c>
      <c r="S29" s="103">
        <f t="shared" si="9"/>
        <v>0</v>
      </c>
      <c r="T29" s="104">
        <f t="shared" si="12"/>
        <v>0</v>
      </c>
    </row>
    <row r="30" spans="1:30" ht="15.75" customHeight="1" thickBot="1" x14ac:dyDescent="0.25">
      <c r="A30" s="212" t="s">
        <v>570</v>
      </c>
      <c r="C30" s="544">
        <f>C20*C25</f>
        <v>0</v>
      </c>
      <c r="D30" s="545">
        <f>D20*D25</f>
        <v>0</v>
      </c>
      <c r="E30" s="545">
        <f>E20*E25</f>
        <v>0</v>
      </c>
      <c r="F30" s="106">
        <f>F20*F25</f>
        <v>0</v>
      </c>
      <c r="G30" s="106">
        <v>0</v>
      </c>
      <c r="H30" s="106">
        <v>0</v>
      </c>
      <c r="I30" s="106">
        <v>0</v>
      </c>
      <c r="J30" s="106">
        <v>0</v>
      </c>
      <c r="K30" s="108">
        <v>0</v>
      </c>
      <c r="N30" s="105">
        <f t="shared" si="10"/>
        <v>2029</v>
      </c>
      <c r="O30" s="106">
        <f t="shared" si="11"/>
        <v>0</v>
      </c>
      <c r="P30" s="106">
        <f>IF($D$26&lt;=7,Q29,P29)</f>
        <v>0</v>
      </c>
      <c r="Q30" s="106">
        <f t="shared" si="8"/>
        <v>0</v>
      </c>
      <c r="R30" s="45"/>
      <c r="S30" s="107">
        <f t="shared" si="9"/>
        <v>0</v>
      </c>
      <c r="T30" s="108">
        <f t="shared" si="12"/>
        <v>0</v>
      </c>
    </row>
    <row r="31" spans="1:30" ht="15" customHeight="1" thickBot="1" x14ac:dyDescent="0.25">
      <c r="A31" s="212" t="s">
        <v>189</v>
      </c>
      <c r="C31" s="541">
        <f>SUM(C27:C30)</f>
        <v>0</v>
      </c>
      <c r="D31" s="542">
        <f>SUM(D27:D30)</f>
        <v>0</v>
      </c>
      <c r="E31" s="542">
        <f t="shared" ref="E31:J31" si="18">SUM(E27:E30)</f>
        <v>0</v>
      </c>
      <c r="F31" s="542">
        <f t="shared" si="18"/>
        <v>0</v>
      </c>
      <c r="G31" s="542">
        <f t="shared" si="18"/>
        <v>0</v>
      </c>
      <c r="H31" s="542">
        <f t="shared" si="18"/>
        <v>0</v>
      </c>
      <c r="I31" s="542">
        <f>SUM(I27:I30)</f>
        <v>0</v>
      </c>
      <c r="J31" s="542">
        <f t="shared" si="18"/>
        <v>0</v>
      </c>
      <c r="K31" s="543"/>
    </row>
    <row r="32" spans="1:30" ht="15.75" customHeight="1" thickTop="1" thickBot="1" x14ac:dyDescent="0.25">
      <c r="A32" s="199"/>
      <c r="B32" s="45"/>
      <c r="C32" s="199"/>
      <c r="D32" s="45"/>
      <c r="E32" s="290"/>
      <c r="F32" s="290"/>
      <c r="G32" s="290"/>
      <c r="H32" s="290"/>
      <c r="I32" s="290"/>
      <c r="J32" s="290"/>
      <c r="K32" s="192"/>
      <c r="N32" s="74" t="s">
        <v>110</v>
      </c>
      <c r="O32" s="75"/>
      <c r="P32" s="75"/>
      <c r="Q32" s="75"/>
      <c r="R32" s="75"/>
      <c r="S32" s="96"/>
      <c r="T32" s="76"/>
    </row>
    <row r="33" spans="1:30" ht="16.5" thickBot="1" x14ac:dyDescent="0.3">
      <c r="N33" s="79"/>
      <c r="S33" s="97" t="s">
        <v>72</v>
      </c>
      <c r="T33" s="98" t="s">
        <v>72</v>
      </c>
    </row>
    <row r="34" spans="1:30" ht="15.75" x14ac:dyDescent="0.25">
      <c r="A34" s="110" t="s">
        <v>115</v>
      </c>
      <c r="B34" s="75"/>
      <c r="C34" s="75"/>
      <c r="D34" s="76"/>
      <c r="F34" s="417"/>
      <c r="N34" s="99" t="s">
        <v>108</v>
      </c>
      <c r="O34" s="100" t="s">
        <v>104</v>
      </c>
      <c r="P34" s="100" t="s">
        <v>105</v>
      </c>
      <c r="Q34" s="100" t="s">
        <v>106</v>
      </c>
      <c r="S34" s="97" t="s">
        <v>129</v>
      </c>
      <c r="T34" s="98" t="s">
        <v>130</v>
      </c>
    </row>
    <row r="35" spans="1:30" x14ac:dyDescent="0.2">
      <c r="A35" s="111" t="s">
        <v>94</v>
      </c>
      <c r="B35" s="112"/>
      <c r="C35" s="113" t="s">
        <v>7</v>
      </c>
      <c r="D35" s="114"/>
      <c r="E35" s="113"/>
      <c r="F35" s="418"/>
      <c r="G35" s="352"/>
      <c r="N35" s="101">
        <f>N24-1</f>
        <v>2022</v>
      </c>
      <c r="O35" s="102">
        <f>E31</f>
        <v>0</v>
      </c>
      <c r="P35" s="102">
        <f>ROUND(IF(O35=0,0,O35/E26),0)</f>
        <v>0</v>
      </c>
      <c r="Q35" s="102">
        <f t="shared" ref="Q35:Q41" si="19">O35-P35</f>
        <v>0</v>
      </c>
      <c r="S35" s="103">
        <f t="shared" ref="S35:S41" si="20">IF(Q35&gt;0,Q35,0)</f>
        <v>0</v>
      </c>
      <c r="T35" s="104">
        <f>IF(Q35&lt;0,Q35,0)</f>
        <v>0</v>
      </c>
    </row>
    <row r="36" spans="1:30" x14ac:dyDescent="0.2">
      <c r="A36" s="115">
        <f>C17</f>
        <v>2024</v>
      </c>
      <c r="B36" s="112"/>
      <c r="C36" s="102">
        <f>P13+C45</f>
        <v>0</v>
      </c>
      <c r="D36" s="104"/>
      <c r="E36" s="102"/>
      <c r="G36" s="93"/>
      <c r="N36" s="101">
        <f t="shared" ref="N36:N41" si="21">N35+1</f>
        <v>2023</v>
      </c>
      <c r="O36" s="102">
        <f t="shared" ref="O36:O41" si="22">Q35</f>
        <v>0</v>
      </c>
      <c r="P36" s="102">
        <f>IF($E$26&lt;=2,Q35,P35)</f>
        <v>0</v>
      </c>
      <c r="Q36" s="102">
        <f t="shared" si="19"/>
        <v>0</v>
      </c>
      <c r="S36" s="103">
        <f t="shared" si="20"/>
        <v>0</v>
      </c>
      <c r="T36" s="104">
        <f t="shared" ref="T36:T41" si="23">IF(Q36&lt;0,Q36,0)</f>
        <v>0</v>
      </c>
    </row>
    <row r="37" spans="1:30" x14ac:dyDescent="0.2">
      <c r="A37" s="115">
        <f>D17</f>
        <v>2023</v>
      </c>
      <c r="B37" s="112"/>
      <c r="C37" s="102">
        <f>P25</f>
        <v>0</v>
      </c>
      <c r="D37" s="104"/>
      <c r="E37" s="102"/>
      <c r="G37" s="28"/>
      <c r="N37" s="101">
        <f t="shared" si="21"/>
        <v>2024</v>
      </c>
      <c r="O37" s="102">
        <f t="shared" si="22"/>
        <v>0</v>
      </c>
      <c r="P37" s="102">
        <f>IF($E$26&lt;=3,Q36,P36)</f>
        <v>0</v>
      </c>
      <c r="Q37" s="102">
        <f t="shared" si="19"/>
        <v>0</v>
      </c>
      <c r="S37" s="103">
        <f t="shared" si="20"/>
        <v>0</v>
      </c>
      <c r="T37" s="104">
        <f t="shared" si="23"/>
        <v>0</v>
      </c>
    </row>
    <row r="38" spans="1:30" x14ac:dyDescent="0.2">
      <c r="A38" s="115">
        <f>E17</f>
        <v>2022</v>
      </c>
      <c r="B38" s="112"/>
      <c r="C38" s="102">
        <f>P37</f>
        <v>0</v>
      </c>
      <c r="D38" s="116"/>
      <c r="E38" s="102"/>
      <c r="F38" s="388"/>
      <c r="G38" s="27"/>
      <c r="H38" s="28"/>
      <c r="N38" s="101">
        <f t="shared" si="21"/>
        <v>2025</v>
      </c>
      <c r="O38" s="102">
        <f t="shared" si="22"/>
        <v>0</v>
      </c>
      <c r="P38" s="102">
        <f>IF($E$26&lt;=4,Q37,P37)</f>
        <v>0</v>
      </c>
      <c r="Q38" s="102">
        <f t="shared" si="19"/>
        <v>0</v>
      </c>
      <c r="S38" s="103">
        <f t="shared" si="20"/>
        <v>0</v>
      </c>
      <c r="T38" s="104">
        <f t="shared" si="23"/>
        <v>0</v>
      </c>
    </row>
    <row r="39" spans="1:30" ht="15.75" x14ac:dyDescent="0.25">
      <c r="A39" s="115">
        <f>F17</f>
        <v>2021</v>
      </c>
      <c r="B39" s="112"/>
      <c r="C39" s="102">
        <f>P49</f>
        <v>0</v>
      </c>
      <c r="D39" s="116"/>
      <c r="E39" s="102"/>
      <c r="G39" s="28"/>
      <c r="H39" s="22"/>
      <c r="I39" s="22"/>
      <c r="J39" s="22"/>
      <c r="N39" s="101">
        <f t="shared" si="21"/>
        <v>2026</v>
      </c>
      <c r="O39" s="102">
        <f t="shared" si="22"/>
        <v>0</v>
      </c>
      <c r="P39" s="102">
        <f>IF($E$26&lt;=5,Q38,P38)</f>
        <v>0</v>
      </c>
      <c r="Q39" s="102">
        <f t="shared" si="19"/>
        <v>0</v>
      </c>
      <c r="S39" s="103">
        <f t="shared" si="20"/>
        <v>0</v>
      </c>
      <c r="T39" s="104">
        <f t="shared" si="23"/>
        <v>0</v>
      </c>
    </row>
    <row r="40" spans="1:30" ht="15.75" x14ac:dyDescent="0.25">
      <c r="A40" s="115">
        <f>G17</f>
        <v>2020</v>
      </c>
      <c r="B40" s="112"/>
      <c r="C40" s="102">
        <f>P61</f>
        <v>0</v>
      </c>
      <c r="D40" s="116"/>
      <c r="E40" s="102"/>
      <c r="G40" s="29"/>
      <c r="H40" s="29"/>
      <c r="I40" s="29"/>
      <c r="J40" s="29"/>
      <c r="N40" s="101">
        <f t="shared" si="21"/>
        <v>2027</v>
      </c>
      <c r="O40" s="102">
        <f t="shared" si="22"/>
        <v>0</v>
      </c>
      <c r="P40" s="102">
        <f>IF($E$26&lt;=6,Q39,P39)</f>
        <v>0</v>
      </c>
      <c r="Q40" s="102">
        <f t="shared" si="19"/>
        <v>0</v>
      </c>
      <c r="S40" s="103">
        <f t="shared" si="20"/>
        <v>0</v>
      </c>
      <c r="T40" s="104">
        <f t="shared" si="23"/>
        <v>0</v>
      </c>
      <c r="V40" s="409"/>
      <c r="W40" s="102"/>
      <c r="X40" s="102"/>
      <c r="Y40" s="102"/>
      <c r="AA40" s="102"/>
      <c r="AB40" s="102"/>
      <c r="AC40" s="26"/>
      <c r="AD40" s="26"/>
    </row>
    <row r="41" spans="1:30" ht="15.75" customHeight="1" thickBot="1" x14ac:dyDescent="0.25">
      <c r="A41" s="115">
        <f>H17</f>
        <v>2019</v>
      </c>
      <c r="B41" s="112"/>
      <c r="C41" s="102">
        <f>P73</f>
        <v>0</v>
      </c>
      <c r="D41" s="116"/>
      <c r="E41" s="102"/>
      <c r="G41" s="419"/>
      <c r="H41" s="7"/>
      <c r="I41" s="7"/>
      <c r="J41" s="7"/>
      <c r="N41" s="105">
        <f t="shared" si="21"/>
        <v>2028</v>
      </c>
      <c r="O41" s="106">
        <f t="shared" si="22"/>
        <v>0</v>
      </c>
      <c r="P41" s="106">
        <f>IF($E$26&lt;=7,Q40,P40)</f>
        <v>0</v>
      </c>
      <c r="Q41" s="106">
        <f t="shared" si="19"/>
        <v>0</v>
      </c>
      <c r="R41" s="45"/>
      <c r="S41" s="107">
        <f t="shared" si="20"/>
        <v>0</v>
      </c>
      <c r="T41" s="108">
        <f t="shared" si="23"/>
        <v>0</v>
      </c>
    </row>
    <row r="42" spans="1:30" ht="15" customHeight="1" thickBot="1" x14ac:dyDescent="0.25">
      <c r="A42" s="115">
        <f>I17</f>
        <v>2018</v>
      </c>
      <c r="B42" s="112"/>
      <c r="C42" s="102">
        <f>P85</f>
        <v>0</v>
      </c>
      <c r="D42" s="116"/>
      <c r="E42" s="102"/>
      <c r="G42" s="27"/>
    </row>
    <row r="43" spans="1:30" ht="15.75" thickBot="1" x14ac:dyDescent="0.25">
      <c r="A43" s="117" t="s">
        <v>116</v>
      </c>
      <c r="B43" s="112"/>
      <c r="C43" s="118">
        <f>SUM(C36:C42)</f>
        <v>0</v>
      </c>
      <c r="D43" s="104"/>
      <c r="E43" s="102"/>
      <c r="N43" s="74" t="s">
        <v>111</v>
      </c>
      <c r="O43" s="75"/>
      <c r="P43" s="75"/>
      <c r="Q43" s="75"/>
      <c r="R43" s="75"/>
      <c r="S43" s="96"/>
      <c r="T43" s="76"/>
    </row>
    <row r="44" spans="1:30" ht="16.5" thickTop="1" x14ac:dyDescent="0.25">
      <c r="A44" s="117"/>
      <c r="B44" s="112"/>
      <c r="D44" s="119"/>
      <c r="N44" s="79"/>
      <c r="S44" s="97" t="s">
        <v>72</v>
      </c>
      <c r="T44" s="98" t="s">
        <v>72</v>
      </c>
    </row>
    <row r="45" spans="1:30" ht="16.5" thickBot="1" x14ac:dyDescent="0.3">
      <c r="A45" s="120" t="s">
        <v>179</v>
      </c>
      <c r="B45" s="45"/>
      <c r="C45" s="95">
        <v>0</v>
      </c>
      <c r="D45" s="121" t="s">
        <v>128</v>
      </c>
      <c r="N45" s="99" t="s">
        <v>108</v>
      </c>
      <c r="O45" s="100" t="s">
        <v>104</v>
      </c>
      <c r="P45" s="100" t="s">
        <v>105</v>
      </c>
      <c r="Q45" s="100" t="s">
        <v>106</v>
      </c>
      <c r="S45" s="97" t="s">
        <v>129</v>
      </c>
      <c r="T45" s="98" t="s">
        <v>130</v>
      </c>
    </row>
    <row r="46" spans="1:30" x14ac:dyDescent="0.2">
      <c r="D46" s="28"/>
      <c r="N46" s="101">
        <f>N35-1</f>
        <v>2021</v>
      </c>
      <c r="O46" s="102">
        <f>F31</f>
        <v>0</v>
      </c>
      <c r="P46" s="102">
        <f>ROUND(IF(O46=0,0,O46/F26),0)</f>
        <v>0</v>
      </c>
      <c r="Q46" s="102">
        <f t="shared" ref="Q46:Q52" si="24">O46-P46</f>
        <v>0</v>
      </c>
      <c r="S46" s="103">
        <f t="shared" ref="S46:S52" si="25">IF(Q46&gt;0,Q46,0)</f>
        <v>0</v>
      </c>
      <c r="T46" s="104">
        <f>IF(Q46&lt;0,Q46,0)</f>
        <v>0</v>
      </c>
    </row>
    <row r="47" spans="1:30" ht="15.75" thickBot="1" x14ac:dyDescent="0.25">
      <c r="N47" s="101">
        <f t="shared" ref="N47:N52" si="26">N46+1</f>
        <v>2022</v>
      </c>
      <c r="O47" s="102">
        <f t="shared" ref="O47:O52" si="27">Q46</f>
        <v>0</v>
      </c>
      <c r="P47" s="102">
        <f>IF($F$26&lt;=2,Q46,P46)</f>
        <v>0</v>
      </c>
      <c r="Q47" s="102">
        <f t="shared" si="24"/>
        <v>0</v>
      </c>
      <c r="S47" s="103">
        <f t="shared" si="25"/>
        <v>0</v>
      </c>
      <c r="T47" s="104">
        <f t="shared" ref="T47:T52" si="28">IF(Q47&lt;0,Q47,0)</f>
        <v>0</v>
      </c>
    </row>
    <row r="48" spans="1:30" ht="15.75" x14ac:dyDescent="0.25">
      <c r="A48" s="110" t="s">
        <v>117</v>
      </c>
      <c r="B48" s="75"/>
      <c r="C48" s="75"/>
      <c r="D48" s="75"/>
      <c r="E48" s="76"/>
      <c r="N48" s="101">
        <f t="shared" si="26"/>
        <v>2023</v>
      </c>
      <c r="O48" s="102">
        <f t="shared" si="27"/>
        <v>0</v>
      </c>
      <c r="P48" s="102">
        <f>IF($F$26&lt;=3,Q47,P47)</f>
        <v>0</v>
      </c>
      <c r="Q48" s="102">
        <f t="shared" si="24"/>
        <v>0</v>
      </c>
      <c r="S48" s="103">
        <f t="shared" si="25"/>
        <v>0</v>
      </c>
      <c r="T48" s="104">
        <f t="shared" si="28"/>
        <v>0</v>
      </c>
    </row>
    <row r="49" spans="1:30" x14ac:dyDescent="0.2">
      <c r="A49" s="111"/>
      <c r="B49" s="112"/>
      <c r="C49" s="112"/>
      <c r="D49" s="112"/>
      <c r="E49" s="77"/>
      <c r="N49" s="101">
        <f t="shared" si="26"/>
        <v>2024</v>
      </c>
      <c r="O49" s="102">
        <f t="shared" si="27"/>
        <v>0</v>
      </c>
      <c r="P49" s="551">
        <f>P48</f>
        <v>0</v>
      </c>
      <c r="Q49" s="102">
        <f t="shared" si="24"/>
        <v>0</v>
      </c>
      <c r="S49" s="103">
        <f t="shared" si="25"/>
        <v>0</v>
      </c>
      <c r="T49" s="104">
        <f t="shared" si="28"/>
        <v>0</v>
      </c>
    </row>
    <row r="50" spans="1:30" x14ac:dyDescent="0.2">
      <c r="A50" s="111"/>
      <c r="B50" s="112"/>
      <c r="C50" s="634" t="s">
        <v>118</v>
      </c>
      <c r="D50" s="634" t="s">
        <v>119</v>
      </c>
      <c r="E50" s="635" t="s">
        <v>216</v>
      </c>
      <c r="N50" s="101">
        <f t="shared" si="26"/>
        <v>2025</v>
      </c>
      <c r="O50" s="102">
        <f t="shared" si="27"/>
        <v>0</v>
      </c>
      <c r="P50" s="102">
        <f>IF($F$26&lt;=5,Q49,P49)</f>
        <v>0</v>
      </c>
      <c r="Q50" s="102">
        <f t="shared" si="24"/>
        <v>0</v>
      </c>
      <c r="S50" s="103">
        <f t="shared" si="25"/>
        <v>0</v>
      </c>
      <c r="T50" s="104">
        <f t="shared" si="28"/>
        <v>0</v>
      </c>
    </row>
    <row r="51" spans="1:30" x14ac:dyDescent="0.2">
      <c r="A51" s="111" t="s">
        <v>121</v>
      </c>
      <c r="B51" s="112"/>
      <c r="C51" s="634"/>
      <c r="D51" s="634"/>
      <c r="E51" s="635"/>
      <c r="N51" s="101">
        <f t="shared" si="26"/>
        <v>2026</v>
      </c>
      <c r="O51" s="102">
        <f t="shared" si="27"/>
        <v>0</v>
      </c>
      <c r="P51" s="102">
        <f>IF($F$26&lt;=6,Q50,P50)</f>
        <v>0</v>
      </c>
      <c r="Q51" s="102">
        <f t="shared" si="24"/>
        <v>0</v>
      </c>
      <c r="S51" s="103">
        <f t="shared" si="25"/>
        <v>0</v>
      </c>
      <c r="T51" s="104">
        <f t="shared" si="28"/>
        <v>0</v>
      </c>
    </row>
    <row r="52" spans="1:30" ht="15.75" thickBot="1" x14ac:dyDescent="0.25">
      <c r="A52" s="115">
        <f>C17</f>
        <v>2024</v>
      </c>
      <c r="B52" s="112"/>
      <c r="C52" s="78">
        <f>ROUND(S13,0)+C62</f>
        <v>0</v>
      </c>
      <c r="D52" s="78">
        <f>ROUND(T13,0)+D62</f>
        <v>0</v>
      </c>
      <c r="E52" s="104">
        <f t="shared" ref="E52:E58" si="29">SUM(C52:D52)</f>
        <v>0</v>
      </c>
      <c r="N52" s="105">
        <f t="shared" si="26"/>
        <v>2027</v>
      </c>
      <c r="O52" s="106">
        <f t="shared" si="27"/>
        <v>0</v>
      </c>
      <c r="P52" s="106">
        <f>IF($F$26&lt;=7,Q51,P51)</f>
        <v>0</v>
      </c>
      <c r="Q52" s="106">
        <f t="shared" si="24"/>
        <v>0</v>
      </c>
      <c r="R52" s="45"/>
      <c r="S52" s="107">
        <f t="shared" si="25"/>
        <v>0</v>
      </c>
      <c r="T52" s="108">
        <f t="shared" si="28"/>
        <v>0</v>
      </c>
    </row>
    <row r="53" spans="1:30" ht="15.75" thickBot="1" x14ac:dyDescent="0.25">
      <c r="A53" s="115">
        <f>D17</f>
        <v>2023</v>
      </c>
      <c r="B53" s="112"/>
      <c r="C53" s="78">
        <f>ROUND(S25,0)</f>
        <v>0</v>
      </c>
      <c r="D53" s="78">
        <f>ROUND(T25,0)</f>
        <v>0</v>
      </c>
      <c r="E53" s="104">
        <f t="shared" si="29"/>
        <v>0</v>
      </c>
      <c r="G53" s="26"/>
    </row>
    <row r="54" spans="1:30" x14ac:dyDescent="0.2">
      <c r="A54" s="115">
        <f>E17</f>
        <v>2022</v>
      </c>
      <c r="B54" s="112"/>
      <c r="C54" s="78">
        <f>ROUND(S37,0)</f>
        <v>0</v>
      </c>
      <c r="D54" s="78">
        <f>ROUND(T37,0)</f>
        <v>0</v>
      </c>
      <c r="E54" s="104">
        <f t="shared" si="29"/>
        <v>0</v>
      </c>
      <c r="N54" s="74" t="s">
        <v>112</v>
      </c>
      <c r="O54" s="75"/>
      <c r="P54" s="75"/>
      <c r="Q54" s="75"/>
      <c r="R54" s="75"/>
      <c r="S54" s="96"/>
      <c r="T54" s="76"/>
    </row>
    <row r="55" spans="1:30" ht="15.75" x14ac:dyDescent="0.25">
      <c r="A55" s="115">
        <f>F17</f>
        <v>2021</v>
      </c>
      <c r="B55" s="112"/>
      <c r="C55" s="78">
        <f>ROUND(S49,0)</f>
        <v>0</v>
      </c>
      <c r="D55" s="78">
        <f>ROUND(T49,0)</f>
        <v>0</v>
      </c>
      <c r="E55" s="104">
        <f t="shared" si="29"/>
        <v>0</v>
      </c>
      <c r="N55" s="79"/>
      <c r="S55" s="97" t="s">
        <v>72</v>
      </c>
      <c r="T55" s="98" t="s">
        <v>72</v>
      </c>
    </row>
    <row r="56" spans="1:30" ht="15.75" x14ac:dyDescent="0.25">
      <c r="A56" s="115">
        <f>G17</f>
        <v>2020</v>
      </c>
      <c r="B56" s="112"/>
      <c r="C56" s="78">
        <f>ROUND(S61,0)</f>
        <v>0</v>
      </c>
      <c r="D56" s="78">
        <f>ROUND(T61,0)</f>
        <v>0</v>
      </c>
      <c r="E56" s="104">
        <f t="shared" si="29"/>
        <v>0</v>
      </c>
      <c r="N56" s="99" t="s">
        <v>108</v>
      </c>
      <c r="O56" s="100" t="s">
        <v>104</v>
      </c>
      <c r="P56" s="100" t="s">
        <v>105</v>
      </c>
      <c r="Q56" s="100" t="s">
        <v>106</v>
      </c>
      <c r="S56" s="97" t="s">
        <v>129</v>
      </c>
      <c r="T56" s="98" t="s">
        <v>130</v>
      </c>
    </row>
    <row r="57" spans="1:30" x14ac:dyDescent="0.2">
      <c r="A57" s="115">
        <f>H17</f>
        <v>2019</v>
      </c>
      <c r="B57" s="112"/>
      <c r="C57" s="78">
        <f>ROUND(S73,0)</f>
        <v>0</v>
      </c>
      <c r="D57" s="78">
        <f>ROUND(T73,0)</f>
        <v>0</v>
      </c>
      <c r="E57" s="104">
        <f t="shared" si="29"/>
        <v>0</v>
      </c>
      <c r="N57" s="101">
        <f>N46-1</f>
        <v>2020</v>
      </c>
      <c r="O57" s="102">
        <f>G31</f>
        <v>0</v>
      </c>
      <c r="P57" s="102">
        <f>ROUND(IF(O57=0,0,O57/G26),0)</f>
        <v>0</v>
      </c>
      <c r="Q57" s="102">
        <f t="shared" ref="Q57:Q63" si="30">O57-P57</f>
        <v>0</v>
      </c>
      <c r="S57" s="103">
        <f t="shared" ref="S57:S63" si="31">IF(Q57&gt;0,Q57,0)</f>
        <v>0</v>
      </c>
      <c r="T57" s="104">
        <f>IF(Q57&lt;0,Q57,0)</f>
        <v>0</v>
      </c>
    </row>
    <row r="58" spans="1:30" x14ac:dyDescent="0.2">
      <c r="A58" s="115">
        <f>I17</f>
        <v>2018</v>
      </c>
      <c r="C58" s="102">
        <f>ROUND(S85,0)</f>
        <v>0</v>
      </c>
      <c r="D58" s="102">
        <f>ROUND(T85,0)</f>
        <v>0</v>
      </c>
      <c r="E58" s="104">
        <f t="shared" si="29"/>
        <v>0</v>
      </c>
      <c r="N58" s="101">
        <f t="shared" ref="N58:N63" si="32">N57+1</f>
        <v>2021</v>
      </c>
      <c r="O58" s="102">
        <f t="shared" ref="O58:O63" si="33">Q57</f>
        <v>0</v>
      </c>
      <c r="P58" s="102">
        <f>IF($G$26&lt;=2,Q57,P57)</f>
        <v>0</v>
      </c>
      <c r="Q58" s="102">
        <f t="shared" si="30"/>
        <v>0</v>
      </c>
      <c r="S58" s="103">
        <f t="shared" si="31"/>
        <v>0</v>
      </c>
      <c r="T58" s="104">
        <f t="shared" ref="T58:T63" si="34">IF(Q58&lt;0,Q58,0)</f>
        <v>0</v>
      </c>
    </row>
    <row r="59" spans="1:30" ht="15.75" thickBot="1" x14ac:dyDescent="0.25">
      <c r="A59" s="117" t="s">
        <v>120</v>
      </c>
      <c r="B59" s="112"/>
      <c r="C59" s="118">
        <f>SUM(C52:C57)</f>
        <v>0</v>
      </c>
      <c r="D59" s="118">
        <f>SUM(D52:D57)</f>
        <v>0</v>
      </c>
      <c r="E59" s="109">
        <f>SUM(E52:E58)</f>
        <v>0</v>
      </c>
      <c r="N59" s="101">
        <f t="shared" si="32"/>
        <v>2022</v>
      </c>
      <c r="O59" s="102">
        <f t="shared" si="33"/>
        <v>0</v>
      </c>
      <c r="P59" s="102">
        <f>IF($G$26&lt;=3,Q58,P58)</f>
        <v>0</v>
      </c>
      <c r="Q59" s="102">
        <f t="shared" si="30"/>
        <v>0</v>
      </c>
      <c r="S59" s="103">
        <f t="shared" si="31"/>
        <v>0</v>
      </c>
      <c r="T59" s="104">
        <f t="shared" si="34"/>
        <v>0</v>
      </c>
    </row>
    <row r="60" spans="1:30" ht="15.75" thickTop="1" x14ac:dyDescent="0.2">
      <c r="A60" s="117"/>
      <c r="C60" s="102"/>
      <c r="D60" s="102"/>
      <c r="E60" s="77"/>
      <c r="N60" s="101">
        <f t="shared" si="32"/>
        <v>2023</v>
      </c>
      <c r="O60" s="102">
        <f t="shared" si="33"/>
        <v>0</v>
      </c>
      <c r="P60" s="102">
        <f>IF($G$26&lt;=4,Q59,P59)</f>
        <v>0</v>
      </c>
      <c r="Q60" s="102">
        <f t="shared" si="30"/>
        <v>0</v>
      </c>
      <c r="S60" s="103">
        <f t="shared" si="31"/>
        <v>0</v>
      </c>
      <c r="T60" s="104">
        <f t="shared" si="34"/>
        <v>0</v>
      </c>
    </row>
    <row r="61" spans="1:30" x14ac:dyDescent="0.2">
      <c r="A61" s="79"/>
      <c r="E61" s="77"/>
      <c r="N61" s="101">
        <f t="shared" si="32"/>
        <v>2024</v>
      </c>
      <c r="O61" s="102">
        <f t="shared" si="33"/>
        <v>0</v>
      </c>
      <c r="P61" s="102">
        <f>IF($G$26&lt;=5,Q60,P60)</f>
        <v>0</v>
      </c>
      <c r="Q61" s="102">
        <f t="shared" si="30"/>
        <v>0</v>
      </c>
      <c r="S61" s="103">
        <f t="shared" si="31"/>
        <v>0</v>
      </c>
      <c r="T61" s="104">
        <f t="shared" si="34"/>
        <v>0</v>
      </c>
    </row>
    <row r="62" spans="1:30" ht="15.75" thickBot="1" x14ac:dyDescent="0.25">
      <c r="A62" s="120" t="s">
        <v>179</v>
      </c>
      <c r="B62" s="45"/>
      <c r="C62" s="95">
        <v>0</v>
      </c>
      <c r="D62" s="95">
        <v>0</v>
      </c>
      <c r="E62" s="121" t="s">
        <v>128</v>
      </c>
      <c r="N62" s="101">
        <f t="shared" si="32"/>
        <v>2025</v>
      </c>
      <c r="O62" s="102">
        <f t="shared" si="33"/>
        <v>0</v>
      </c>
      <c r="P62" s="102">
        <f>IF($G$26&lt;=6,Q61,P61)</f>
        <v>0</v>
      </c>
      <c r="Q62" s="102">
        <f t="shared" si="30"/>
        <v>0</v>
      </c>
      <c r="S62" s="103">
        <f t="shared" si="31"/>
        <v>0</v>
      </c>
      <c r="T62" s="104">
        <f t="shared" si="34"/>
        <v>0</v>
      </c>
    </row>
    <row r="63" spans="1:30" ht="16.5" thickBot="1" x14ac:dyDescent="0.3">
      <c r="N63" s="105">
        <f t="shared" si="32"/>
        <v>2026</v>
      </c>
      <c r="O63" s="106">
        <f t="shared" si="33"/>
        <v>0</v>
      </c>
      <c r="P63" s="106">
        <f>IF($G$26&lt;=7,Q62,P62)</f>
        <v>0</v>
      </c>
      <c r="Q63" s="106">
        <f t="shared" si="30"/>
        <v>0</v>
      </c>
      <c r="R63" s="45"/>
      <c r="S63" s="107">
        <f t="shared" si="31"/>
        <v>0</v>
      </c>
      <c r="T63" s="108">
        <f t="shared" si="34"/>
        <v>0</v>
      </c>
      <c r="V63" s="631" t="s">
        <v>404</v>
      </c>
      <c r="W63" s="632"/>
      <c r="X63" s="632"/>
      <c r="Y63" s="632"/>
      <c r="Z63" s="632"/>
      <c r="AA63" s="632"/>
      <c r="AB63" s="632"/>
      <c r="AC63" s="632"/>
      <c r="AD63" s="633"/>
    </row>
    <row r="64" spans="1:30" ht="15.75" thickBot="1" x14ac:dyDescent="0.25"/>
    <row r="65" spans="1:30" ht="15" customHeight="1" x14ac:dyDescent="0.2">
      <c r="N65" s="74" t="s">
        <v>113</v>
      </c>
      <c r="O65" s="75"/>
      <c r="P65" s="75"/>
      <c r="Q65" s="75"/>
      <c r="R65" s="75"/>
      <c r="S65" s="96"/>
      <c r="T65" s="76"/>
      <c r="V65" s="74" t="s">
        <v>111</v>
      </c>
      <c r="W65" s="75"/>
      <c r="X65" s="75"/>
      <c r="Y65" s="75"/>
      <c r="Z65" s="75"/>
      <c r="AA65" s="96"/>
      <c r="AB65" s="76"/>
    </row>
    <row r="66" spans="1:30" ht="15.75" x14ac:dyDescent="0.25">
      <c r="A66" s="123" t="s">
        <v>191</v>
      </c>
      <c r="N66" s="79"/>
      <c r="S66" s="97" t="s">
        <v>72</v>
      </c>
      <c r="T66" s="98" t="s">
        <v>72</v>
      </c>
      <c r="V66" s="79"/>
      <c r="AA66" s="97" t="s">
        <v>72</v>
      </c>
      <c r="AB66" s="98" t="s">
        <v>72</v>
      </c>
    </row>
    <row r="67" spans="1:30" ht="31.5" x14ac:dyDescent="0.25">
      <c r="N67" s="99" t="s">
        <v>108</v>
      </c>
      <c r="O67" s="100" t="s">
        <v>104</v>
      </c>
      <c r="P67" s="100" t="s">
        <v>105</v>
      </c>
      <c r="Q67" s="100" t="s">
        <v>106</v>
      </c>
      <c r="S67" s="97" t="s">
        <v>129</v>
      </c>
      <c r="T67" s="98" t="s">
        <v>130</v>
      </c>
      <c r="V67" s="99" t="s">
        <v>108</v>
      </c>
      <c r="W67" s="100" t="s">
        <v>104</v>
      </c>
      <c r="X67" s="100" t="s">
        <v>105</v>
      </c>
      <c r="Y67" s="100" t="s">
        <v>106</v>
      </c>
      <c r="AA67" s="97" t="s">
        <v>129</v>
      </c>
      <c r="AB67" s="98" t="s">
        <v>130</v>
      </c>
      <c r="AC67" s="355" t="s">
        <v>402</v>
      </c>
      <c r="AD67" s="355" t="s">
        <v>399</v>
      </c>
    </row>
    <row r="68" spans="1:30" x14ac:dyDescent="0.2">
      <c r="N68" s="101">
        <f>N57-1</f>
        <v>2019</v>
      </c>
      <c r="O68" s="102">
        <f>H31</f>
        <v>0</v>
      </c>
      <c r="P68" s="102">
        <f>ROUND(IF(O68=0,0,O68/H26),0)</f>
        <v>0</v>
      </c>
      <c r="Q68" s="102">
        <f t="shared" ref="Q68:Q74" si="35">O68-P68</f>
        <v>0</v>
      </c>
      <c r="S68" s="103">
        <f t="shared" ref="S68:S74" si="36">IF(Q68&gt;0,Q68,0)</f>
        <v>0</v>
      </c>
      <c r="T68" s="104">
        <f>IF(Q68&lt;0,Q68,0)</f>
        <v>0</v>
      </c>
      <c r="V68" s="101">
        <f>N57-1</f>
        <v>2019</v>
      </c>
      <c r="W68" s="102">
        <f>H29</f>
        <v>0</v>
      </c>
      <c r="X68" s="102">
        <f>ROUND(IF(W68=0,0,W68/$H$26),0)</f>
        <v>0</v>
      </c>
      <c r="Y68" s="102">
        <f t="shared" ref="Y68:Y74" si="37">W68-X68</f>
        <v>0</v>
      </c>
      <c r="AA68" s="103">
        <f t="shared" ref="AA68:AA74" si="38">IF(Y68&gt;0,Y68,0)</f>
        <v>0</v>
      </c>
      <c r="AB68" s="104">
        <f>IF(Y68&lt;0,Y68,0)</f>
        <v>0</v>
      </c>
      <c r="AC68" s="356"/>
      <c r="AD68" s="356"/>
    </row>
    <row r="69" spans="1:30" x14ac:dyDescent="0.2">
      <c r="N69" s="101">
        <f t="shared" ref="N69:N74" si="39">N68+1</f>
        <v>2020</v>
      </c>
      <c r="O69" s="102">
        <f t="shared" ref="O69:O74" si="40">Q68</f>
        <v>0</v>
      </c>
      <c r="P69" s="102">
        <f>IF($H$26&lt;=2,Q68,P68)</f>
        <v>0</v>
      </c>
      <c r="Q69" s="102">
        <f t="shared" si="35"/>
        <v>0</v>
      </c>
      <c r="S69" s="103">
        <f t="shared" si="36"/>
        <v>0</v>
      </c>
      <c r="T69" s="104">
        <f t="shared" ref="T69:T74" si="41">IF(Q69&lt;0,Q69,0)</f>
        <v>0</v>
      </c>
      <c r="V69" s="101">
        <f t="shared" ref="V69:V74" si="42">V68+1</f>
        <v>2020</v>
      </c>
      <c r="W69" s="102">
        <f t="shared" ref="W69:W72" si="43">Y68</f>
        <v>0</v>
      </c>
      <c r="X69" s="102">
        <f>IF($D$26&lt;=2,Y68,X68)</f>
        <v>0</v>
      </c>
      <c r="Y69" s="102">
        <f t="shared" si="37"/>
        <v>0</v>
      </c>
      <c r="AA69" s="103">
        <f t="shared" si="38"/>
        <v>0</v>
      </c>
      <c r="AB69" s="104">
        <f t="shared" ref="AB69:AB74" si="44">IF(Y69&lt;0,Y69,0)</f>
        <v>0</v>
      </c>
      <c r="AC69" s="356"/>
      <c r="AD69" s="356"/>
    </row>
    <row r="70" spans="1:30" ht="15.75" thickBot="1" x14ac:dyDescent="0.25">
      <c r="N70" s="101">
        <f t="shared" si="39"/>
        <v>2021</v>
      </c>
      <c r="O70" s="102">
        <f t="shared" si="40"/>
        <v>0</v>
      </c>
      <c r="P70" s="102">
        <f>IF($H$26&lt;=3,Q69,P69)</f>
        <v>0</v>
      </c>
      <c r="Q70" s="102">
        <f t="shared" si="35"/>
        <v>0</v>
      </c>
      <c r="S70" s="103">
        <f t="shared" si="36"/>
        <v>0</v>
      </c>
      <c r="T70" s="104">
        <f t="shared" si="41"/>
        <v>0</v>
      </c>
      <c r="V70" s="101">
        <f t="shared" si="42"/>
        <v>2021</v>
      </c>
      <c r="W70" s="102">
        <f t="shared" si="43"/>
        <v>0</v>
      </c>
      <c r="X70" s="102">
        <f>IF($D$26&lt;=3,Y69,X69)</f>
        <v>0</v>
      </c>
      <c r="Y70" s="102">
        <f t="shared" si="37"/>
        <v>0</v>
      </c>
      <c r="AA70" s="103">
        <f t="shared" si="38"/>
        <v>0</v>
      </c>
      <c r="AB70" s="104">
        <f t="shared" si="44"/>
        <v>0</v>
      </c>
      <c r="AC70" s="356"/>
      <c r="AD70" s="356"/>
    </row>
    <row r="71" spans="1:30" ht="15.75" x14ac:dyDescent="0.25">
      <c r="A71" s="110" t="s">
        <v>214</v>
      </c>
      <c r="B71" s="75"/>
      <c r="C71" s="75"/>
      <c r="D71" s="75"/>
      <c r="E71" s="76"/>
      <c r="N71" s="101">
        <f t="shared" si="39"/>
        <v>2022</v>
      </c>
      <c r="O71" s="102">
        <f t="shared" si="40"/>
        <v>0</v>
      </c>
      <c r="P71" s="102">
        <f>IF($H$26&lt;=4,Q70,P70)</f>
        <v>0</v>
      </c>
      <c r="Q71" s="102">
        <f t="shared" si="35"/>
        <v>0</v>
      </c>
      <c r="S71" s="103">
        <f t="shared" si="36"/>
        <v>0</v>
      </c>
      <c r="T71" s="104">
        <f t="shared" si="41"/>
        <v>0</v>
      </c>
      <c r="V71" s="101">
        <f t="shared" si="42"/>
        <v>2022</v>
      </c>
      <c r="W71" s="102">
        <f t="shared" si="43"/>
        <v>0</v>
      </c>
      <c r="X71" s="102">
        <f>IF($D$26&lt;=3,Y70,X70)</f>
        <v>0</v>
      </c>
      <c r="Y71" s="102">
        <f t="shared" si="37"/>
        <v>0</v>
      </c>
      <c r="AA71" s="103">
        <f t="shared" si="38"/>
        <v>0</v>
      </c>
      <c r="AB71" s="104">
        <f t="shared" si="44"/>
        <v>0</v>
      </c>
      <c r="AC71" s="356"/>
      <c r="AD71" s="356"/>
    </row>
    <row r="72" spans="1:30" x14ac:dyDescent="0.2">
      <c r="A72" s="111"/>
      <c r="B72" s="112"/>
      <c r="C72" s="124" t="s">
        <v>217</v>
      </c>
      <c r="D72" s="112"/>
      <c r="E72" s="77"/>
      <c r="N72" s="101">
        <f t="shared" si="39"/>
        <v>2023</v>
      </c>
      <c r="O72" s="102">
        <f t="shared" si="40"/>
        <v>0</v>
      </c>
      <c r="P72" s="102">
        <f>IF($H$26&lt;=5,Q71,P71)</f>
        <v>0</v>
      </c>
      <c r="Q72" s="102">
        <f t="shared" si="35"/>
        <v>0</v>
      </c>
      <c r="S72" s="103">
        <f t="shared" si="36"/>
        <v>0</v>
      </c>
      <c r="T72" s="104">
        <f t="shared" si="41"/>
        <v>0</v>
      </c>
      <c r="V72" s="101">
        <f t="shared" si="42"/>
        <v>2023</v>
      </c>
      <c r="W72" s="102">
        <f t="shared" si="43"/>
        <v>0</v>
      </c>
      <c r="X72" s="102">
        <f>IF($D$26&lt;=5,Y71,X71)</f>
        <v>0</v>
      </c>
      <c r="Y72" s="102">
        <f t="shared" si="37"/>
        <v>0</v>
      </c>
      <c r="AA72" s="103">
        <f t="shared" si="38"/>
        <v>0</v>
      </c>
      <c r="AB72" s="104">
        <f t="shared" si="44"/>
        <v>0</v>
      </c>
      <c r="AC72" s="356">
        <f>Q72-Y72</f>
        <v>0</v>
      </c>
      <c r="AD72" s="356">
        <v>0</v>
      </c>
    </row>
    <row r="73" spans="1:30" x14ac:dyDescent="0.2">
      <c r="A73" s="79"/>
      <c r="B73" s="112"/>
      <c r="C73" s="124" t="s">
        <v>218</v>
      </c>
      <c r="E73" s="77"/>
      <c r="N73" s="101">
        <f t="shared" si="39"/>
        <v>2024</v>
      </c>
      <c r="O73" s="102">
        <f t="shared" si="40"/>
        <v>0</v>
      </c>
      <c r="P73" s="102">
        <f>IF($H$26&lt;=6,Q72,P72)</f>
        <v>0</v>
      </c>
      <c r="Q73" s="102">
        <f t="shared" si="35"/>
        <v>0</v>
      </c>
      <c r="S73" s="103">
        <f t="shared" si="36"/>
        <v>0</v>
      </c>
      <c r="T73" s="104">
        <f t="shared" si="41"/>
        <v>0</v>
      </c>
      <c r="V73" s="101">
        <f>V72+1</f>
        <v>2024</v>
      </c>
      <c r="W73" s="102">
        <f>Y72</f>
        <v>0</v>
      </c>
      <c r="X73" s="102">
        <f>IF($D$26&lt;=6,Y72,X72)</f>
        <v>0</v>
      </c>
      <c r="Y73" s="102">
        <f t="shared" si="37"/>
        <v>0</v>
      </c>
      <c r="AA73" s="103">
        <f t="shared" si="38"/>
        <v>0</v>
      </c>
      <c r="AB73" s="104">
        <f t="shared" si="44"/>
        <v>0</v>
      </c>
      <c r="AC73" s="423"/>
      <c r="AD73" s="423"/>
    </row>
    <row r="74" spans="1:30" ht="15.75" thickBot="1" x14ac:dyDescent="0.25">
      <c r="A74" s="111" t="s">
        <v>215</v>
      </c>
      <c r="B74" s="112"/>
      <c r="C74" s="125" t="s">
        <v>294</v>
      </c>
      <c r="D74" s="112"/>
      <c r="E74" s="77"/>
      <c r="N74" s="105">
        <f t="shared" si="39"/>
        <v>2025</v>
      </c>
      <c r="O74" s="106">
        <f t="shared" si="40"/>
        <v>0</v>
      </c>
      <c r="P74" s="106">
        <f>IF($H$26&lt;=7,Q73,P73)</f>
        <v>0</v>
      </c>
      <c r="Q74" s="106">
        <f t="shared" si="35"/>
        <v>0</v>
      </c>
      <c r="R74" s="45"/>
      <c r="S74" s="107">
        <f t="shared" si="36"/>
        <v>0</v>
      </c>
      <c r="T74" s="108">
        <f t="shared" si="41"/>
        <v>0</v>
      </c>
      <c r="V74" s="105">
        <f t="shared" si="42"/>
        <v>2025</v>
      </c>
      <c r="W74" s="106">
        <f t="shared" ref="W74" si="45">Y73</f>
        <v>0</v>
      </c>
      <c r="X74" s="106">
        <f>IF($D$26&lt;=7,Y73,X73)</f>
        <v>0</v>
      </c>
      <c r="Y74" s="106">
        <f t="shared" si="37"/>
        <v>0</v>
      </c>
      <c r="Z74" s="45"/>
      <c r="AA74" s="107">
        <f t="shared" si="38"/>
        <v>0</v>
      </c>
      <c r="AB74" s="108">
        <f t="shared" si="44"/>
        <v>0</v>
      </c>
      <c r="AC74" s="423"/>
      <c r="AD74" s="423"/>
    </row>
    <row r="75" spans="1:30" ht="15.75" thickBot="1" x14ac:dyDescent="0.25">
      <c r="A75" s="115"/>
      <c r="B75" s="112"/>
      <c r="C75" s="122"/>
      <c r="D75" s="78"/>
      <c r="E75" s="77"/>
    </row>
    <row r="76" spans="1:30" x14ac:dyDescent="0.2">
      <c r="A76" s="115">
        <f>N14+1</f>
        <v>2026</v>
      </c>
      <c r="B76" s="112"/>
      <c r="C76" s="78">
        <f>ROUND(P14+P26+P38+P50+P62+P74,0)</f>
        <v>0</v>
      </c>
      <c r="D76" s="78"/>
      <c r="E76" s="126"/>
      <c r="N76" s="74" t="s">
        <v>114</v>
      </c>
      <c r="O76" s="75"/>
      <c r="P76" s="75"/>
      <c r="Q76" s="75"/>
      <c r="R76" s="75"/>
      <c r="S76" s="96"/>
      <c r="T76" s="76"/>
      <c r="V76" s="74" t="s">
        <v>112</v>
      </c>
      <c r="W76" s="75"/>
      <c r="X76" s="75"/>
      <c r="Y76" s="75"/>
      <c r="Z76" s="75"/>
      <c r="AA76" s="96"/>
      <c r="AB76" s="76"/>
    </row>
    <row r="77" spans="1:30" ht="15.75" x14ac:dyDescent="0.25">
      <c r="A77" s="115">
        <f>N15+1</f>
        <v>2027</v>
      </c>
      <c r="B77" s="112"/>
      <c r="C77" s="78">
        <f>ROUND(P15+P27+P39+P51+P63,0)</f>
        <v>0</v>
      </c>
      <c r="D77" s="78"/>
      <c r="E77" s="77"/>
      <c r="N77" s="79"/>
      <c r="S77" s="97" t="s">
        <v>72</v>
      </c>
      <c r="T77" s="98" t="s">
        <v>72</v>
      </c>
      <c r="V77" s="79"/>
      <c r="AA77" s="97" t="s">
        <v>72</v>
      </c>
      <c r="AB77" s="98" t="s">
        <v>72</v>
      </c>
    </row>
    <row r="78" spans="1:30" ht="31.5" x14ac:dyDescent="0.25">
      <c r="A78" s="115">
        <f>N16+1</f>
        <v>2028</v>
      </c>
      <c r="B78" s="112"/>
      <c r="C78" s="78">
        <f>ROUND(P16+P28+P40+P52,0)</f>
        <v>0</v>
      </c>
      <c r="D78" s="78"/>
      <c r="E78" s="77"/>
      <c r="N78" s="99" t="s">
        <v>108</v>
      </c>
      <c r="O78" s="100" t="s">
        <v>104</v>
      </c>
      <c r="P78" s="100" t="s">
        <v>105</v>
      </c>
      <c r="Q78" s="100" t="s">
        <v>106</v>
      </c>
      <c r="S78" s="97" t="s">
        <v>129</v>
      </c>
      <c r="T78" s="98" t="s">
        <v>130</v>
      </c>
      <c r="V78" s="99" t="s">
        <v>108</v>
      </c>
      <c r="W78" s="100" t="s">
        <v>104</v>
      </c>
      <c r="X78" s="100" t="s">
        <v>105</v>
      </c>
      <c r="Y78" s="100" t="s">
        <v>106</v>
      </c>
      <c r="AA78" s="97" t="s">
        <v>129</v>
      </c>
      <c r="AB78" s="98" t="s">
        <v>130</v>
      </c>
      <c r="AC78" s="355" t="s">
        <v>402</v>
      </c>
      <c r="AD78" s="355" t="s">
        <v>399</v>
      </c>
    </row>
    <row r="79" spans="1:30" x14ac:dyDescent="0.2">
      <c r="A79" s="115">
        <f>N17+1</f>
        <v>2029</v>
      </c>
      <c r="B79" s="112"/>
      <c r="C79" s="78">
        <f>ROUND(P17+P29+P41+C85,0)</f>
        <v>0</v>
      </c>
      <c r="D79" s="78"/>
      <c r="E79" s="77"/>
      <c r="N79" s="101">
        <f>N68-1</f>
        <v>2018</v>
      </c>
      <c r="O79" s="102">
        <f>I31</f>
        <v>0</v>
      </c>
      <c r="P79" s="102">
        <f>ROUND(IF(O79=0,0,O79/I26),0)</f>
        <v>0</v>
      </c>
      <c r="Q79" s="102">
        <f t="shared" ref="Q79:Q85" si="46">O79-P79</f>
        <v>0</v>
      </c>
      <c r="S79" s="103">
        <f t="shared" ref="S79:S85" si="47">IF(Q79&gt;0,Q79,0)</f>
        <v>0</v>
      </c>
      <c r="T79" s="104">
        <f>IF(Q79&lt;0,Q79,0)</f>
        <v>0</v>
      </c>
      <c r="V79" s="101">
        <f>V68-1</f>
        <v>2018</v>
      </c>
      <c r="W79" s="102">
        <f>I29</f>
        <v>0</v>
      </c>
      <c r="X79" s="102">
        <f>ROUND(IF(W79=0,0,W79/$I$26),0)</f>
        <v>0</v>
      </c>
      <c r="Y79" s="102">
        <f t="shared" ref="Y79:Y85" si="48">W79-X79</f>
        <v>0</v>
      </c>
      <c r="AA79" s="103">
        <f t="shared" ref="AA79:AA85" si="49">IF(Y79&gt;0,Y79,0)</f>
        <v>0</v>
      </c>
      <c r="AB79" s="104">
        <f t="shared" ref="AB79:AB85" si="50">IF(Y79&lt;0,Y79,0)</f>
        <v>0</v>
      </c>
      <c r="AC79" s="356"/>
      <c r="AD79" s="356"/>
    </row>
    <row r="80" spans="1:30" x14ac:dyDescent="0.2">
      <c r="A80" s="115">
        <f>N18+1</f>
        <v>2030</v>
      </c>
      <c r="B80" s="112"/>
      <c r="C80" s="78">
        <f>ROUND(P18+P30,0)</f>
        <v>0</v>
      </c>
      <c r="D80" s="78"/>
      <c r="E80" s="77"/>
      <c r="N80" s="101">
        <f t="shared" ref="N80:N85" si="51">N79+1</f>
        <v>2019</v>
      </c>
      <c r="O80" s="102">
        <f t="shared" ref="O80:O85" si="52">Q79</f>
        <v>0</v>
      </c>
      <c r="P80" s="102">
        <f>IF($I$26&lt;=2,Q79,P79)</f>
        <v>0</v>
      </c>
      <c r="Q80" s="102">
        <f t="shared" si="46"/>
        <v>0</v>
      </c>
      <c r="S80" s="103">
        <f t="shared" si="47"/>
        <v>0</v>
      </c>
      <c r="T80" s="104">
        <f t="shared" ref="T80:T85" si="53">IF(Q80&lt;0,Q80,0)</f>
        <v>0</v>
      </c>
      <c r="V80" s="101">
        <f t="shared" ref="V80:V85" si="54">V79+1</f>
        <v>2019</v>
      </c>
      <c r="W80" s="102">
        <f t="shared" ref="W80:W85" si="55">Y79</f>
        <v>0</v>
      </c>
      <c r="X80" s="102">
        <f>IF($D$26&lt;=2,Y79,X79)</f>
        <v>0</v>
      </c>
      <c r="Y80" s="102">
        <f t="shared" si="48"/>
        <v>0</v>
      </c>
      <c r="AA80" s="103">
        <f t="shared" si="49"/>
        <v>0</v>
      </c>
      <c r="AB80" s="104">
        <f t="shared" si="50"/>
        <v>0</v>
      </c>
      <c r="AC80" s="356"/>
      <c r="AD80" s="356"/>
    </row>
    <row r="81" spans="1:30" x14ac:dyDescent="0.2">
      <c r="A81" s="115" t="s">
        <v>77</v>
      </c>
      <c r="C81" s="102">
        <f>P19</f>
        <v>0</v>
      </c>
      <c r="D81" s="102"/>
      <c r="E81" s="77"/>
      <c r="N81" s="101">
        <f t="shared" si="51"/>
        <v>2020</v>
      </c>
      <c r="O81" s="102">
        <f t="shared" si="52"/>
        <v>0</v>
      </c>
      <c r="P81" s="102">
        <f>IF($I$26&lt;=3,Q80,P80)</f>
        <v>0</v>
      </c>
      <c r="Q81" s="102">
        <f t="shared" si="46"/>
        <v>0</v>
      </c>
      <c r="S81" s="103">
        <f t="shared" si="47"/>
        <v>0</v>
      </c>
      <c r="T81" s="104">
        <f t="shared" si="53"/>
        <v>0</v>
      </c>
      <c r="V81" s="101">
        <f t="shared" si="54"/>
        <v>2020</v>
      </c>
      <c r="W81" s="102">
        <f t="shared" si="55"/>
        <v>0</v>
      </c>
      <c r="X81" s="102">
        <f>IF($D$26&lt;=3,Y80,X80)</f>
        <v>0</v>
      </c>
      <c r="Y81" s="102">
        <f t="shared" si="48"/>
        <v>0</v>
      </c>
      <c r="AA81" s="103">
        <f t="shared" si="49"/>
        <v>0</v>
      </c>
      <c r="AB81" s="104">
        <f t="shared" si="50"/>
        <v>0</v>
      </c>
      <c r="AC81" s="356"/>
      <c r="AD81" s="356"/>
    </row>
    <row r="82" spans="1:30" ht="15.75" customHeight="1" thickBot="1" x14ac:dyDescent="0.25">
      <c r="A82" s="117"/>
      <c r="B82" s="112"/>
      <c r="C82" s="118">
        <f>SUM(C76:C81)</f>
        <v>0</v>
      </c>
      <c r="D82" s="102"/>
      <c r="E82" s="77"/>
      <c r="N82" s="101">
        <f t="shared" si="51"/>
        <v>2021</v>
      </c>
      <c r="O82" s="102">
        <f t="shared" si="52"/>
        <v>0</v>
      </c>
      <c r="P82" s="102">
        <f>IF($I$26&lt;=4,Q81,P81)</f>
        <v>0</v>
      </c>
      <c r="Q82" s="102">
        <f t="shared" si="46"/>
        <v>0</v>
      </c>
      <c r="S82" s="103">
        <f t="shared" si="47"/>
        <v>0</v>
      </c>
      <c r="T82" s="104">
        <f t="shared" si="53"/>
        <v>0</v>
      </c>
      <c r="V82" s="101">
        <f t="shared" si="54"/>
        <v>2021</v>
      </c>
      <c r="W82" s="102">
        <f t="shared" si="55"/>
        <v>0</v>
      </c>
      <c r="X82" s="102">
        <f>IF($D$26&lt;=3,Y81,X81)</f>
        <v>0</v>
      </c>
      <c r="Y82" s="102">
        <f t="shared" si="48"/>
        <v>0</v>
      </c>
      <c r="AA82" s="103">
        <f t="shared" si="49"/>
        <v>0</v>
      </c>
      <c r="AB82" s="104">
        <f t="shared" si="50"/>
        <v>0</v>
      </c>
      <c r="AC82" s="356"/>
      <c r="AD82" s="356"/>
    </row>
    <row r="83" spans="1:30" ht="15.75" thickTop="1" x14ac:dyDescent="0.2">
      <c r="A83" s="117"/>
      <c r="C83" s="102"/>
      <c r="D83" s="102"/>
      <c r="E83" s="77"/>
      <c r="N83" s="101">
        <f t="shared" si="51"/>
        <v>2022</v>
      </c>
      <c r="O83" s="102">
        <f t="shared" si="52"/>
        <v>0</v>
      </c>
      <c r="P83" s="102">
        <f>IF($I$26&lt;=5,Q82,P82)</f>
        <v>0</v>
      </c>
      <c r="Q83" s="102">
        <f t="shared" si="46"/>
        <v>0</v>
      </c>
      <c r="S83" s="103">
        <f t="shared" si="47"/>
        <v>0</v>
      </c>
      <c r="T83" s="104">
        <f t="shared" si="53"/>
        <v>0</v>
      </c>
      <c r="V83" s="101">
        <f t="shared" si="54"/>
        <v>2022</v>
      </c>
      <c r="W83" s="102">
        <f t="shared" si="55"/>
        <v>0</v>
      </c>
      <c r="X83" s="102">
        <f>IF($D$26&lt;=5,Y82,X82)</f>
        <v>0</v>
      </c>
      <c r="Y83" s="102">
        <f t="shared" si="48"/>
        <v>0</v>
      </c>
      <c r="AA83" s="103">
        <f t="shared" si="49"/>
        <v>0</v>
      </c>
      <c r="AB83" s="104">
        <f t="shared" si="50"/>
        <v>0</v>
      </c>
      <c r="AC83" s="356"/>
      <c r="AD83" s="356"/>
    </row>
    <row r="84" spans="1:30" x14ac:dyDescent="0.2">
      <c r="A84" s="115" t="s">
        <v>67</v>
      </c>
      <c r="C84" s="102">
        <f>E59-C82</f>
        <v>0</v>
      </c>
      <c r="E84" s="77"/>
      <c r="N84" s="101">
        <f t="shared" si="51"/>
        <v>2023</v>
      </c>
      <c r="O84" s="102">
        <f t="shared" si="52"/>
        <v>0</v>
      </c>
      <c r="P84" s="102">
        <f>IF($I$26&lt;=6,Q83,P83)</f>
        <v>0</v>
      </c>
      <c r="Q84" s="102">
        <f t="shared" si="46"/>
        <v>0</v>
      </c>
      <c r="S84" s="103">
        <f t="shared" si="47"/>
        <v>0</v>
      </c>
      <c r="T84" s="104">
        <f t="shared" si="53"/>
        <v>0</v>
      </c>
      <c r="V84" s="101">
        <f t="shared" si="54"/>
        <v>2023</v>
      </c>
      <c r="W84" s="102">
        <f t="shared" si="55"/>
        <v>0</v>
      </c>
      <c r="X84" s="102">
        <f>IF($D$26&lt;=6,Y83,X83)</f>
        <v>0</v>
      </c>
      <c r="Y84" s="102">
        <f t="shared" si="48"/>
        <v>0</v>
      </c>
      <c r="AA84" s="103">
        <f t="shared" si="49"/>
        <v>0</v>
      </c>
      <c r="AB84" s="104">
        <f t="shared" si="50"/>
        <v>0</v>
      </c>
      <c r="AC84" s="356">
        <f>Q62-Y84</f>
        <v>0</v>
      </c>
      <c r="AD84" s="356">
        <f>X84-P73</f>
        <v>0</v>
      </c>
    </row>
    <row r="85" spans="1:30" ht="15.75" thickBot="1" x14ac:dyDescent="0.25">
      <c r="A85" s="120" t="s">
        <v>179</v>
      </c>
      <c r="B85" s="45"/>
      <c r="C85" s="95">
        <v>0</v>
      </c>
      <c r="D85" s="143" t="s">
        <v>128</v>
      </c>
      <c r="E85" s="121"/>
      <c r="N85" s="105">
        <f t="shared" si="51"/>
        <v>2024</v>
      </c>
      <c r="O85" s="106">
        <f t="shared" si="52"/>
        <v>0</v>
      </c>
      <c r="P85" s="106">
        <f>IF($I$26&lt;=7,Q84,P84)</f>
        <v>0</v>
      </c>
      <c r="Q85" s="106">
        <f t="shared" si="46"/>
        <v>0</v>
      </c>
      <c r="R85" s="45"/>
      <c r="S85" s="107">
        <f t="shared" si="47"/>
        <v>0</v>
      </c>
      <c r="T85" s="108">
        <f t="shared" si="53"/>
        <v>0</v>
      </c>
      <c r="V85" s="105">
        <f t="shared" si="54"/>
        <v>2024</v>
      </c>
      <c r="W85" s="106">
        <f t="shared" si="55"/>
        <v>0</v>
      </c>
      <c r="X85" s="106">
        <f>IF($D$26&lt;=7,Y84,X84)</f>
        <v>0</v>
      </c>
      <c r="Y85" s="106">
        <f t="shared" si="48"/>
        <v>0</v>
      </c>
      <c r="Z85" s="45"/>
      <c r="AA85" s="107">
        <f t="shared" si="49"/>
        <v>0</v>
      </c>
      <c r="AB85" s="108">
        <f t="shared" si="50"/>
        <v>0</v>
      </c>
      <c r="AC85" s="423"/>
      <c r="AD85" s="423"/>
    </row>
    <row r="86" spans="1:30" ht="15.75" thickBot="1" x14ac:dyDescent="0.25"/>
    <row r="87" spans="1:30" ht="31.5" x14ac:dyDescent="0.25">
      <c r="N87" s="74" t="s">
        <v>578</v>
      </c>
      <c r="O87" s="75"/>
      <c r="P87" s="75"/>
      <c r="Q87" s="75"/>
      <c r="R87" s="75"/>
      <c r="S87" s="96"/>
      <c r="T87" s="76"/>
      <c r="V87" s="23"/>
      <c r="AC87" s="355" t="s">
        <v>410</v>
      </c>
      <c r="AD87" s="355" t="s">
        <v>411</v>
      </c>
    </row>
    <row r="88" spans="1:30" ht="15.75" x14ac:dyDescent="0.25">
      <c r="N88" s="79"/>
      <c r="S88" s="97" t="s">
        <v>72</v>
      </c>
      <c r="T88" s="98" t="s">
        <v>72</v>
      </c>
      <c r="AA88" s="29"/>
      <c r="AB88" s="29"/>
      <c r="AC88" s="355"/>
      <c r="AD88" s="355"/>
    </row>
    <row r="89" spans="1:30" ht="15.75" x14ac:dyDescent="0.25">
      <c r="N89" s="99" t="s">
        <v>108</v>
      </c>
      <c r="O89" s="100" t="s">
        <v>104</v>
      </c>
      <c r="P89" s="100" t="s">
        <v>105</v>
      </c>
      <c r="Q89" s="100" t="s">
        <v>106</v>
      </c>
      <c r="S89" s="97" t="s">
        <v>129</v>
      </c>
      <c r="T89" s="98" t="s">
        <v>130</v>
      </c>
      <c r="V89" s="100"/>
      <c r="W89" s="100"/>
      <c r="X89" s="100"/>
      <c r="Y89" s="100"/>
      <c r="AA89" s="29"/>
      <c r="AB89" s="29"/>
      <c r="AC89" s="355"/>
      <c r="AD89" s="355"/>
    </row>
    <row r="90" spans="1:30" x14ac:dyDescent="0.2">
      <c r="N90" s="101">
        <f>N79-1</f>
        <v>2017</v>
      </c>
      <c r="O90" s="102">
        <f>J31</f>
        <v>0</v>
      </c>
      <c r="P90" s="102">
        <f>ROUND(IF(O90=0,0,O90/J26),0)</f>
        <v>0</v>
      </c>
      <c r="Q90" s="102">
        <f t="shared" ref="Q90:Q96" si="56">O90-P90</f>
        <v>0</v>
      </c>
      <c r="S90" s="103">
        <f t="shared" ref="S90:S96" si="57">IF(Q90&gt;0,Q90,0)</f>
        <v>0</v>
      </c>
      <c r="T90" s="104">
        <f>IF(Q90&lt;0,Q90,0)</f>
        <v>0</v>
      </c>
      <c r="V90" s="409"/>
      <c r="W90" s="102"/>
      <c r="X90" s="102"/>
      <c r="Y90" s="102"/>
      <c r="AA90" s="102"/>
      <c r="AB90" s="102"/>
      <c r="AC90" s="356">
        <f>AC72+AC84</f>
        <v>0</v>
      </c>
      <c r="AD90" s="356">
        <f>AD72+AD84</f>
        <v>0</v>
      </c>
    </row>
    <row r="91" spans="1:30" x14ac:dyDescent="0.2">
      <c r="N91" s="101">
        <f t="shared" ref="N91:N96" si="58">N90+1</f>
        <v>2018</v>
      </c>
      <c r="O91" s="102">
        <f t="shared" ref="O91:O96" si="59">Q90</f>
        <v>0</v>
      </c>
      <c r="P91" s="102">
        <f>IF($I$26&lt;=2,Q90,P90)</f>
        <v>0</v>
      </c>
      <c r="Q91" s="102">
        <f t="shared" si="56"/>
        <v>0</v>
      </c>
      <c r="S91" s="103">
        <f t="shared" si="57"/>
        <v>0</v>
      </c>
      <c r="T91" s="104">
        <f t="shared" ref="T91:T96" si="60">IF(Q91&lt;0,Q91,0)</f>
        <v>0</v>
      </c>
    </row>
    <row r="92" spans="1:30" x14ac:dyDescent="0.2">
      <c r="N92" s="101">
        <f t="shared" si="58"/>
        <v>2019</v>
      </c>
      <c r="O92" s="102">
        <f t="shared" si="59"/>
        <v>0</v>
      </c>
      <c r="P92" s="102">
        <f>IF($I$26&lt;=3,Q91,P91)</f>
        <v>0</v>
      </c>
      <c r="Q92" s="102">
        <f t="shared" si="56"/>
        <v>0</v>
      </c>
      <c r="S92" s="103">
        <f t="shared" si="57"/>
        <v>0</v>
      </c>
      <c r="T92" s="104">
        <f t="shared" si="60"/>
        <v>0</v>
      </c>
    </row>
    <row r="93" spans="1:30" x14ac:dyDescent="0.2">
      <c r="N93" s="101">
        <f t="shared" si="58"/>
        <v>2020</v>
      </c>
      <c r="O93" s="102">
        <f t="shared" si="59"/>
        <v>0</v>
      </c>
      <c r="P93" s="102">
        <f>IF($I$26&lt;=4,Q92,P92)</f>
        <v>0</v>
      </c>
      <c r="Q93" s="102">
        <f t="shared" si="56"/>
        <v>0</v>
      </c>
      <c r="S93" s="103">
        <f t="shared" si="57"/>
        <v>0</v>
      </c>
      <c r="T93" s="104">
        <f t="shared" si="60"/>
        <v>0</v>
      </c>
    </row>
    <row r="94" spans="1:30" x14ac:dyDescent="0.2">
      <c r="N94" s="101">
        <f t="shared" si="58"/>
        <v>2021</v>
      </c>
      <c r="O94" s="102">
        <f t="shared" si="59"/>
        <v>0</v>
      </c>
      <c r="P94" s="102">
        <f>IF($I$26&lt;=5,Q93,P93)</f>
        <v>0</v>
      </c>
      <c r="Q94" s="102">
        <f t="shared" si="56"/>
        <v>0</v>
      </c>
      <c r="S94" s="103">
        <f t="shared" si="57"/>
        <v>0</v>
      </c>
      <c r="T94" s="104">
        <f t="shared" si="60"/>
        <v>0</v>
      </c>
    </row>
    <row r="95" spans="1:30" x14ac:dyDescent="0.2">
      <c r="N95" s="101">
        <f t="shared" si="58"/>
        <v>2022</v>
      </c>
      <c r="O95" s="102">
        <f t="shared" si="59"/>
        <v>0</v>
      </c>
      <c r="P95" s="102">
        <f>IF($I$26&lt;=6,Q94,P94)</f>
        <v>0</v>
      </c>
      <c r="Q95" s="102">
        <f t="shared" si="56"/>
        <v>0</v>
      </c>
      <c r="S95" s="103">
        <f t="shared" si="57"/>
        <v>0</v>
      </c>
      <c r="T95" s="104">
        <f t="shared" si="60"/>
        <v>0</v>
      </c>
    </row>
    <row r="96" spans="1:30" ht="15.75" thickBot="1" x14ac:dyDescent="0.25">
      <c r="N96" s="105">
        <f t="shared" si="58"/>
        <v>2023</v>
      </c>
      <c r="O96" s="106">
        <f t="shared" si="59"/>
        <v>0</v>
      </c>
      <c r="P96" s="106">
        <f>IF($I$26&lt;=7,Q95,P95)</f>
        <v>0</v>
      </c>
      <c r="Q96" s="106">
        <f t="shared" si="56"/>
        <v>0</v>
      </c>
      <c r="R96" s="45"/>
      <c r="S96" s="107">
        <f t="shared" si="57"/>
        <v>0</v>
      </c>
      <c r="T96" s="108">
        <f t="shared" si="60"/>
        <v>0</v>
      </c>
    </row>
    <row r="97" spans="14:20" ht="15.75" thickBot="1" x14ac:dyDescent="0.25"/>
    <row r="98" spans="14:20" x14ac:dyDescent="0.2">
      <c r="N98" s="74" t="s">
        <v>578</v>
      </c>
      <c r="O98" s="75"/>
      <c r="P98" s="75"/>
      <c r="Q98" s="75"/>
      <c r="R98" s="75"/>
      <c r="S98" s="96"/>
      <c r="T98" s="76"/>
    </row>
    <row r="99" spans="14:20" ht="15" customHeight="1" x14ac:dyDescent="0.25">
      <c r="N99" s="79"/>
      <c r="S99" s="97" t="s">
        <v>72</v>
      </c>
      <c r="T99" s="98" t="s">
        <v>72</v>
      </c>
    </row>
    <row r="100" spans="14:20" ht="15.75" x14ac:dyDescent="0.25">
      <c r="N100" s="99" t="s">
        <v>108</v>
      </c>
      <c r="O100" s="100" t="s">
        <v>104</v>
      </c>
      <c r="P100" s="100" t="s">
        <v>105</v>
      </c>
      <c r="Q100" s="100" t="s">
        <v>106</v>
      </c>
      <c r="S100" s="97" t="s">
        <v>129</v>
      </c>
      <c r="T100" s="98" t="s">
        <v>130</v>
      </c>
    </row>
    <row r="101" spans="14:20" x14ac:dyDescent="0.2">
      <c r="N101" s="101">
        <f>N90-1</f>
        <v>2016</v>
      </c>
      <c r="O101" s="102">
        <f>K31</f>
        <v>0</v>
      </c>
      <c r="P101" s="102">
        <f>ROUND(IF(O101=0,0,O101/I48),0)</f>
        <v>0</v>
      </c>
      <c r="Q101" s="102">
        <f t="shared" ref="Q101:Q107" si="61">O101-P101</f>
        <v>0</v>
      </c>
      <c r="S101" s="103">
        <f t="shared" ref="S101:S107" si="62">IF(Q101&gt;0,Q101,0)</f>
        <v>0</v>
      </c>
      <c r="T101" s="104">
        <f>IF(Q101&lt;0,Q101,0)</f>
        <v>0</v>
      </c>
    </row>
    <row r="102" spans="14:20" x14ac:dyDescent="0.2">
      <c r="N102" s="101">
        <f t="shared" ref="N102:N107" si="63">N101+1</f>
        <v>2017</v>
      </c>
      <c r="O102" s="102">
        <f t="shared" ref="O102:O107" si="64">Q101</f>
        <v>0</v>
      </c>
      <c r="P102" s="102">
        <f>IF($I$26&lt;=2,Q101,P101)</f>
        <v>0</v>
      </c>
      <c r="Q102" s="102">
        <f t="shared" si="61"/>
        <v>0</v>
      </c>
      <c r="S102" s="103">
        <f t="shared" si="62"/>
        <v>0</v>
      </c>
      <c r="T102" s="104">
        <f t="shared" ref="T102:T107" si="65">IF(Q102&lt;0,Q102,0)</f>
        <v>0</v>
      </c>
    </row>
    <row r="103" spans="14:20" x14ac:dyDescent="0.2">
      <c r="N103" s="101">
        <f t="shared" si="63"/>
        <v>2018</v>
      </c>
      <c r="O103" s="102">
        <f t="shared" si="64"/>
        <v>0</v>
      </c>
      <c r="P103" s="102">
        <f>IF($I$26&lt;=3,Q102,P102)</f>
        <v>0</v>
      </c>
      <c r="Q103" s="102">
        <f t="shared" si="61"/>
        <v>0</v>
      </c>
      <c r="S103" s="103">
        <f t="shared" si="62"/>
        <v>0</v>
      </c>
      <c r="T103" s="104">
        <f t="shared" si="65"/>
        <v>0</v>
      </c>
    </row>
    <row r="104" spans="14:20" x14ac:dyDescent="0.2">
      <c r="N104" s="101">
        <f t="shared" si="63"/>
        <v>2019</v>
      </c>
      <c r="O104" s="102">
        <f t="shared" si="64"/>
        <v>0</v>
      </c>
      <c r="P104" s="102">
        <f>IF($I$26&lt;=4,Q103,P103)</f>
        <v>0</v>
      </c>
      <c r="Q104" s="102">
        <f t="shared" si="61"/>
        <v>0</v>
      </c>
      <c r="S104" s="103">
        <f t="shared" si="62"/>
        <v>0</v>
      </c>
      <c r="T104" s="104">
        <f t="shared" si="65"/>
        <v>0</v>
      </c>
    </row>
    <row r="105" spans="14:20" x14ac:dyDescent="0.2">
      <c r="N105" s="101">
        <f t="shared" si="63"/>
        <v>2020</v>
      </c>
      <c r="O105" s="102">
        <f t="shared" si="64"/>
        <v>0</v>
      </c>
      <c r="P105" s="102">
        <f>IF($I$26&lt;=5,Q104,P104)</f>
        <v>0</v>
      </c>
      <c r="Q105" s="102">
        <f t="shared" si="61"/>
        <v>0</v>
      </c>
      <c r="S105" s="103">
        <f t="shared" si="62"/>
        <v>0</v>
      </c>
      <c r="T105" s="104">
        <f t="shared" si="65"/>
        <v>0</v>
      </c>
    </row>
    <row r="106" spans="14:20" x14ac:dyDescent="0.2">
      <c r="N106" s="101">
        <f t="shared" si="63"/>
        <v>2021</v>
      </c>
      <c r="O106" s="102">
        <f t="shared" si="64"/>
        <v>0</v>
      </c>
      <c r="P106" s="102">
        <f>IF($I$26&lt;=6,Q105,P105)</f>
        <v>0</v>
      </c>
      <c r="Q106" s="102">
        <f t="shared" si="61"/>
        <v>0</v>
      </c>
      <c r="S106" s="103">
        <f t="shared" si="62"/>
        <v>0</v>
      </c>
      <c r="T106" s="104">
        <f t="shared" si="65"/>
        <v>0</v>
      </c>
    </row>
    <row r="107" spans="14:20" ht="15.75" thickBot="1" x14ac:dyDescent="0.25">
      <c r="N107" s="105">
        <f t="shared" si="63"/>
        <v>2022</v>
      </c>
      <c r="O107" s="106">
        <f t="shared" si="64"/>
        <v>0</v>
      </c>
      <c r="P107" s="106">
        <f>IF($I$26&lt;=7,Q106,P106)</f>
        <v>0</v>
      </c>
      <c r="Q107" s="106">
        <f t="shared" si="61"/>
        <v>0</v>
      </c>
      <c r="R107" s="45"/>
      <c r="S107" s="107">
        <f t="shared" si="62"/>
        <v>0</v>
      </c>
      <c r="T107" s="108">
        <f t="shared" si="65"/>
        <v>0</v>
      </c>
    </row>
    <row r="121" spans="9:10" x14ac:dyDescent="0.2">
      <c r="I121" s="390"/>
      <c r="J121" s="390"/>
    </row>
  </sheetData>
  <sheetProtection algorithmName="SHA-512" hashValue="P4R67h+jooN7JbBjNmB+zDnlHFel58Ygl87U0jIJI3SV9/ZVY8lf6RfVsJS63Home42T3iHkJ2MdWMnKsvkjtw==" saltValue="q8DCddsay15QJS41Ri0TOg==" spinCount="100000" sheet="1" objects="1" scenarios="1"/>
  <mergeCells count="7">
    <mergeCell ref="V63:AD63"/>
    <mergeCell ref="N8:T8"/>
    <mergeCell ref="C50:C51"/>
    <mergeCell ref="D50:D51"/>
    <mergeCell ref="E50:E51"/>
    <mergeCell ref="C9:J14"/>
    <mergeCell ref="C16:K16"/>
  </mergeCells>
  <pageMargins left="0.7" right="0.7" top="0.75" bottom="0.75" header="0.3" footer="0.3"/>
  <pageSetup orientation="portrait" r:id="rId1"/>
  <cellWatches>
    <cellWatch r="C84"/>
  </cellWatche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AB94"/>
  <sheetViews>
    <sheetView zoomScale="85" zoomScaleNormal="85" workbookViewId="0">
      <selection activeCell="C12" sqref="C12"/>
    </sheetView>
  </sheetViews>
  <sheetFormatPr defaultColWidth="8.88671875" defaultRowHeight="15" x14ac:dyDescent="0.2"/>
  <cols>
    <col min="1" max="1" width="61.21875" customWidth="1"/>
    <col min="2" max="2" width="1" customWidth="1"/>
    <col min="3" max="3" width="12.21875" customWidth="1"/>
    <col min="4" max="4" width="12.88671875" customWidth="1"/>
    <col min="5" max="5" width="12.77734375" bestFit="1" customWidth="1"/>
    <col min="6" max="9" width="12.109375" customWidth="1"/>
    <col min="10" max="10" width="1.5546875" customWidth="1"/>
    <col min="11" max="11" width="1.77734375" customWidth="1"/>
    <col min="12" max="12" width="10.77734375" customWidth="1"/>
    <col min="13" max="13" width="12.21875" bestFit="1" customWidth="1"/>
    <col min="14" max="14" width="10.6640625" bestFit="1" customWidth="1"/>
    <col min="15" max="15" width="9.5546875" bestFit="1" customWidth="1"/>
    <col min="16" max="16" width="1.21875" customWidth="1"/>
    <col min="18" max="18" width="9.5546875" bestFit="1" customWidth="1"/>
    <col min="27" max="27" width="16.109375" customWidth="1"/>
    <col min="28" max="28" width="16.77734375" customWidth="1"/>
  </cols>
  <sheetData>
    <row r="1" spans="1:28" ht="18.75" thickBot="1" x14ac:dyDescent="0.3">
      <c r="A1" s="22" t="s">
        <v>122</v>
      </c>
      <c r="C1" s="21" t="s">
        <v>16</v>
      </c>
    </row>
    <row r="2" spans="1:28" ht="18.75" thickBot="1" x14ac:dyDescent="0.3">
      <c r="C2" s="21" t="s">
        <v>249</v>
      </c>
      <c r="L2" s="631" t="s">
        <v>190</v>
      </c>
      <c r="M2" s="632"/>
      <c r="N2" s="632"/>
      <c r="O2" s="632"/>
      <c r="P2" s="632"/>
      <c r="Q2" s="632"/>
      <c r="R2" s="633"/>
      <c r="T2" s="631" t="s">
        <v>404</v>
      </c>
      <c r="U2" s="632"/>
      <c r="V2" s="632"/>
      <c r="W2" s="632"/>
      <c r="X2" s="632"/>
      <c r="Y2" s="632"/>
      <c r="Z2" s="632"/>
      <c r="AA2" s="632"/>
      <c r="AB2" s="633"/>
    </row>
    <row r="3" spans="1:28" ht="15.75" thickBot="1" x14ac:dyDescent="0.25"/>
    <row r="4" spans="1:28" x14ac:dyDescent="0.2">
      <c r="A4" s="209" t="s">
        <v>103</v>
      </c>
      <c r="C4" s="210">
        <f>'Change in Proportion - LEAs'!C7</f>
        <v>2025</v>
      </c>
      <c r="L4" s="74" t="s">
        <v>107</v>
      </c>
      <c r="M4" s="75"/>
      <c r="N4" s="75"/>
      <c r="O4" s="75"/>
      <c r="P4" s="75"/>
      <c r="Q4" s="96"/>
      <c r="R4" s="76"/>
      <c r="T4" s="74" t="s">
        <v>107</v>
      </c>
      <c r="U4" s="75"/>
      <c r="V4" s="75"/>
      <c r="W4" s="75"/>
      <c r="X4" s="75"/>
      <c r="Y4" s="96"/>
      <c r="Z4" s="76"/>
    </row>
    <row r="5" spans="1:28" ht="15.75" x14ac:dyDescent="0.25">
      <c r="A5" s="23"/>
      <c r="L5" s="79"/>
      <c r="Q5" s="97" t="s">
        <v>72</v>
      </c>
      <c r="R5" s="98" t="s">
        <v>72</v>
      </c>
      <c r="T5" s="79"/>
      <c r="Y5" s="97" t="s">
        <v>72</v>
      </c>
      <c r="Z5" s="98" t="s">
        <v>72</v>
      </c>
    </row>
    <row r="6" spans="1:28" ht="31.5" x14ac:dyDescent="0.25">
      <c r="C6" s="621" t="s">
        <v>405</v>
      </c>
      <c r="D6" s="621"/>
      <c r="E6" s="621"/>
      <c r="F6" s="621"/>
      <c r="G6" s="621"/>
      <c r="H6" s="621"/>
      <c r="I6" s="621"/>
      <c r="L6" s="99" t="s">
        <v>108</v>
      </c>
      <c r="M6" s="100" t="s">
        <v>104</v>
      </c>
      <c r="N6" s="100" t="s">
        <v>105</v>
      </c>
      <c r="O6" s="100" t="s">
        <v>106</v>
      </c>
      <c r="Q6" s="97" t="s">
        <v>129</v>
      </c>
      <c r="R6" s="98" t="s">
        <v>130</v>
      </c>
      <c r="T6" s="99" t="s">
        <v>108</v>
      </c>
      <c r="U6" s="100" t="s">
        <v>104</v>
      </c>
      <c r="V6" s="100" t="s">
        <v>105</v>
      </c>
      <c r="W6" s="100" t="s">
        <v>106</v>
      </c>
      <c r="Y6" s="97" t="s">
        <v>129</v>
      </c>
      <c r="Z6" s="98" t="s">
        <v>130</v>
      </c>
      <c r="AA6" s="355" t="s">
        <v>398</v>
      </c>
      <c r="AB6" s="355" t="s">
        <v>399</v>
      </c>
    </row>
    <row r="7" spans="1:28" x14ac:dyDescent="0.2">
      <c r="C7" s="621"/>
      <c r="D7" s="621"/>
      <c r="E7" s="621"/>
      <c r="F7" s="621"/>
      <c r="G7" s="621"/>
      <c r="H7" s="621"/>
      <c r="I7" s="621"/>
      <c r="L7" s="101">
        <f>C4-1</f>
        <v>2024</v>
      </c>
      <c r="M7" s="102" t="e">
        <f>C26</f>
        <v>#REF!</v>
      </c>
      <c r="N7" s="102" t="e">
        <f>ROUND(IF(M7=0,0,M7/$C$22),0)</f>
        <v>#REF!</v>
      </c>
      <c r="O7" s="102" t="e">
        <f t="shared" ref="O7:O13" si="0">M7-N7</f>
        <v>#REF!</v>
      </c>
      <c r="Q7" s="103" t="e">
        <f t="shared" ref="Q7:Q13" si="1">IF(O7&gt;0,O7,0)</f>
        <v>#REF!</v>
      </c>
      <c r="R7" s="104" t="e">
        <f>IF(O7&lt;0,O7,0)</f>
        <v>#REF!</v>
      </c>
      <c r="T7" s="101">
        <f>L7</f>
        <v>2024</v>
      </c>
      <c r="U7" s="102" t="e">
        <f>C25</f>
        <v>#REF!</v>
      </c>
      <c r="V7" s="102" t="e">
        <f>ROUND(IF(U7=0,0,U7/$C$22),0)</f>
        <v>#REF!</v>
      </c>
      <c r="W7" s="102" t="e">
        <f t="shared" ref="W7:W13" si="2">U7-V7</f>
        <v>#REF!</v>
      </c>
      <c r="Y7" s="103" t="e">
        <f t="shared" ref="Y7:Y13" si="3">IF(W7&gt;0,W7,0)</f>
        <v>#REF!</v>
      </c>
      <c r="Z7" s="104" t="e">
        <f>IF(W7&lt;0,W7,0)</f>
        <v>#REF!</v>
      </c>
      <c r="AA7" s="356" t="e">
        <f>O7-W7</f>
        <v>#REF!</v>
      </c>
      <c r="AB7" s="356" t="e">
        <f>V7-N7</f>
        <v>#REF!</v>
      </c>
    </row>
    <row r="8" spans="1:28" x14ac:dyDescent="0.2">
      <c r="C8" s="621"/>
      <c r="D8" s="621"/>
      <c r="E8" s="621"/>
      <c r="F8" s="621"/>
      <c r="G8" s="621"/>
      <c r="H8" s="621"/>
      <c r="I8" s="621"/>
      <c r="L8" s="101">
        <f t="shared" ref="L8:L13" si="4">L7+1</f>
        <v>2025</v>
      </c>
      <c r="M8" s="102" t="e">
        <f t="shared" ref="M8:M13" si="5">O7</f>
        <v>#REF!</v>
      </c>
      <c r="N8" s="102" t="e">
        <f>IF($C$22&lt;=2,O7,N7)</f>
        <v>#REF!</v>
      </c>
      <c r="O8" s="102" t="e">
        <f t="shared" si="0"/>
        <v>#REF!</v>
      </c>
      <c r="Q8" s="103" t="e">
        <f t="shared" si="1"/>
        <v>#REF!</v>
      </c>
      <c r="R8" s="104" t="e">
        <f t="shared" ref="R8:R13" si="6">IF(O8&lt;0,O8,0)</f>
        <v>#REF!</v>
      </c>
      <c r="T8" s="101">
        <f t="shared" ref="T8:T13" si="7">T7+1</f>
        <v>2025</v>
      </c>
      <c r="U8" s="102" t="e">
        <f t="shared" ref="U8:U13" si="8">W7</f>
        <v>#REF!</v>
      </c>
      <c r="V8" s="102" t="e">
        <f>IF($C$22&lt;=2,W7,V7)</f>
        <v>#REF!</v>
      </c>
      <c r="W8" s="102" t="e">
        <f t="shared" si="2"/>
        <v>#REF!</v>
      </c>
      <c r="Y8" s="103" t="e">
        <f t="shared" si="3"/>
        <v>#REF!</v>
      </c>
      <c r="Z8" s="104" t="e">
        <f t="shared" ref="Z8:Z13" si="9">IF(W8&lt;0,W8,0)</f>
        <v>#REF!</v>
      </c>
    </row>
    <row r="9" spans="1:28" x14ac:dyDescent="0.2">
      <c r="C9" s="621"/>
      <c r="D9" s="621"/>
      <c r="E9" s="621"/>
      <c r="F9" s="621"/>
      <c r="G9" s="621"/>
      <c r="H9" s="621"/>
      <c r="I9" s="621"/>
      <c r="L9" s="101">
        <f t="shared" si="4"/>
        <v>2026</v>
      </c>
      <c r="M9" s="102" t="e">
        <f t="shared" si="5"/>
        <v>#REF!</v>
      </c>
      <c r="N9" s="102" t="e">
        <f>IF($C$22&lt;=3,O8,N8)</f>
        <v>#REF!</v>
      </c>
      <c r="O9" s="102" t="e">
        <f t="shared" si="0"/>
        <v>#REF!</v>
      </c>
      <c r="Q9" s="103" t="e">
        <f t="shared" si="1"/>
        <v>#REF!</v>
      </c>
      <c r="R9" s="104" t="e">
        <f t="shared" si="6"/>
        <v>#REF!</v>
      </c>
      <c r="T9" s="101">
        <f t="shared" si="7"/>
        <v>2026</v>
      </c>
      <c r="U9" s="102" t="e">
        <f t="shared" si="8"/>
        <v>#REF!</v>
      </c>
      <c r="V9" s="102" t="e">
        <f>IF($C$22&lt;=3,W8,V8)</f>
        <v>#REF!</v>
      </c>
      <c r="W9" s="102" t="e">
        <f t="shared" si="2"/>
        <v>#REF!</v>
      </c>
      <c r="Y9" s="103" t="e">
        <f t="shared" si="3"/>
        <v>#REF!</v>
      </c>
      <c r="Z9" s="104" t="e">
        <f t="shared" si="9"/>
        <v>#REF!</v>
      </c>
    </row>
    <row r="10" spans="1:28" x14ac:dyDescent="0.2">
      <c r="C10" s="621"/>
      <c r="D10" s="621"/>
      <c r="E10" s="621"/>
      <c r="F10" s="621"/>
      <c r="G10" s="621"/>
      <c r="H10" s="621"/>
      <c r="I10" s="621"/>
      <c r="L10" s="101">
        <f t="shared" si="4"/>
        <v>2027</v>
      </c>
      <c r="M10" s="102" t="e">
        <f t="shared" si="5"/>
        <v>#REF!</v>
      </c>
      <c r="N10" s="102" t="e">
        <f>IF($C$22&lt;=4,O9,N9)</f>
        <v>#REF!</v>
      </c>
      <c r="O10" s="102" t="e">
        <f t="shared" si="0"/>
        <v>#REF!</v>
      </c>
      <c r="Q10" s="103" t="e">
        <f t="shared" si="1"/>
        <v>#REF!</v>
      </c>
      <c r="R10" s="104" t="e">
        <f t="shared" si="6"/>
        <v>#REF!</v>
      </c>
      <c r="T10" s="101">
        <f t="shared" si="7"/>
        <v>2027</v>
      </c>
      <c r="U10" s="102" t="e">
        <f t="shared" si="8"/>
        <v>#REF!</v>
      </c>
      <c r="V10" s="102" t="e">
        <f>IF($C$22&lt;=4,W9,V9)</f>
        <v>#REF!</v>
      </c>
      <c r="W10" s="102" t="e">
        <f t="shared" si="2"/>
        <v>#REF!</v>
      </c>
      <c r="Y10" s="103" t="e">
        <f t="shared" si="3"/>
        <v>#REF!</v>
      </c>
      <c r="Z10" s="104" t="e">
        <f t="shared" si="9"/>
        <v>#REF!</v>
      </c>
    </row>
    <row r="11" spans="1:28" x14ac:dyDescent="0.2">
      <c r="C11" s="621"/>
      <c r="D11" s="621"/>
      <c r="E11" s="621"/>
      <c r="F11" s="621"/>
      <c r="G11" s="621"/>
      <c r="H11" s="621"/>
      <c r="I11" s="621"/>
      <c r="L11" s="101">
        <f t="shared" si="4"/>
        <v>2028</v>
      </c>
      <c r="M11" s="102" t="e">
        <f t="shared" si="5"/>
        <v>#REF!</v>
      </c>
      <c r="N11" s="102" t="e">
        <f>IF($C$22&lt;=5,O10,N10)</f>
        <v>#REF!</v>
      </c>
      <c r="O11" s="102" t="e">
        <f t="shared" si="0"/>
        <v>#REF!</v>
      </c>
      <c r="Q11" s="103" t="e">
        <f t="shared" si="1"/>
        <v>#REF!</v>
      </c>
      <c r="R11" s="104" t="e">
        <f t="shared" si="6"/>
        <v>#REF!</v>
      </c>
      <c r="T11" s="101">
        <f t="shared" si="7"/>
        <v>2028</v>
      </c>
      <c r="U11" s="102" t="e">
        <f t="shared" si="8"/>
        <v>#REF!</v>
      </c>
      <c r="V11" s="102" t="e">
        <f>IF($C$22&lt;=5,W10,V10)</f>
        <v>#REF!</v>
      </c>
      <c r="W11" s="102" t="e">
        <f t="shared" si="2"/>
        <v>#REF!</v>
      </c>
      <c r="Y11" s="103" t="e">
        <f t="shared" si="3"/>
        <v>#REF!</v>
      </c>
      <c r="Z11" s="104" t="e">
        <f t="shared" si="9"/>
        <v>#REF!</v>
      </c>
    </row>
    <row r="12" spans="1:28" ht="15.75" thickBot="1" x14ac:dyDescent="0.25">
      <c r="L12" s="101">
        <f t="shared" si="4"/>
        <v>2029</v>
      </c>
      <c r="M12" s="102" t="e">
        <f t="shared" si="5"/>
        <v>#REF!</v>
      </c>
      <c r="N12" s="102" t="e">
        <f>IF($C$22&lt;=6,O11,N11)</f>
        <v>#REF!</v>
      </c>
      <c r="O12" s="102" t="e">
        <f t="shared" si="0"/>
        <v>#REF!</v>
      </c>
      <c r="Q12" s="103" t="e">
        <f t="shared" si="1"/>
        <v>#REF!</v>
      </c>
      <c r="R12" s="104" t="e">
        <f t="shared" si="6"/>
        <v>#REF!</v>
      </c>
      <c r="T12" s="101">
        <f t="shared" si="7"/>
        <v>2029</v>
      </c>
      <c r="U12" s="102" t="e">
        <f t="shared" si="8"/>
        <v>#REF!</v>
      </c>
      <c r="V12" s="102" t="e">
        <f>IF($C$22&lt;=6,W11,V11)</f>
        <v>#REF!</v>
      </c>
      <c r="W12" s="102" t="e">
        <f t="shared" si="2"/>
        <v>#REF!</v>
      </c>
      <c r="Y12" s="103" t="e">
        <f t="shared" si="3"/>
        <v>#REF!</v>
      </c>
      <c r="Z12" s="104" t="e">
        <f t="shared" si="9"/>
        <v>#REF!</v>
      </c>
    </row>
    <row r="13" spans="1:28" ht="16.5" thickBot="1" x14ac:dyDescent="0.3">
      <c r="A13" s="74"/>
      <c r="B13" s="75"/>
      <c r="C13" s="636" t="s">
        <v>94</v>
      </c>
      <c r="D13" s="637"/>
      <c r="E13" s="637"/>
      <c r="F13" s="637"/>
      <c r="G13" s="637"/>
      <c r="H13" s="637"/>
      <c r="I13" s="638"/>
      <c r="L13" s="105">
        <f t="shared" si="4"/>
        <v>2030</v>
      </c>
      <c r="M13" s="106" t="e">
        <f t="shared" si="5"/>
        <v>#REF!</v>
      </c>
      <c r="N13" s="106" t="e">
        <f>IF($C$22&lt;=7,O12,N12)</f>
        <v>#REF!</v>
      </c>
      <c r="O13" s="106" t="e">
        <f t="shared" si="0"/>
        <v>#REF!</v>
      </c>
      <c r="P13" s="45"/>
      <c r="Q13" s="107" t="e">
        <f t="shared" si="1"/>
        <v>#REF!</v>
      </c>
      <c r="R13" s="108" t="e">
        <f t="shared" si="6"/>
        <v>#REF!</v>
      </c>
      <c r="T13" s="105">
        <f t="shared" si="7"/>
        <v>2030</v>
      </c>
      <c r="U13" s="106" t="e">
        <f t="shared" si="8"/>
        <v>#REF!</v>
      </c>
      <c r="V13" s="106" t="e">
        <f>IF($C$22&lt;=7,W12,V12)</f>
        <v>#REF!</v>
      </c>
      <c r="W13" s="106" t="e">
        <f t="shared" si="2"/>
        <v>#REF!</v>
      </c>
      <c r="X13" s="45"/>
      <c r="Y13" s="107" t="e">
        <f t="shared" si="3"/>
        <v>#REF!</v>
      </c>
      <c r="Z13" s="108" t="e">
        <f t="shared" si="9"/>
        <v>#REF!</v>
      </c>
    </row>
    <row r="14" spans="1:28" ht="16.5" thickBot="1" x14ac:dyDescent="0.3">
      <c r="A14" s="79"/>
      <c r="C14" s="214">
        <f>C4-1</f>
        <v>2024</v>
      </c>
      <c r="D14" s="214">
        <f>C14-1</f>
        <v>2023</v>
      </c>
      <c r="E14" s="214">
        <f>C14-2</f>
        <v>2022</v>
      </c>
      <c r="F14" s="176">
        <f>C14-3</f>
        <v>2021</v>
      </c>
      <c r="G14" s="176">
        <f>C14-4</f>
        <v>2020</v>
      </c>
      <c r="H14" s="176">
        <f>C14-5</f>
        <v>2019</v>
      </c>
      <c r="I14" s="176">
        <f>C14-6</f>
        <v>2018</v>
      </c>
    </row>
    <row r="15" spans="1:28" ht="15.75" thickBot="1" x14ac:dyDescent="0.25">
      <c r="A15" s="79"/>
      <c r="C15" s="215" t="s">
        <v>95</v>
      </c>
      <c r="D15" s="215" t="s">
        <v>96</v>
      </c>
      <c r="E15" s="215" t="s">
        <v>97</v>
      </c>
      <c r="F15" s="177" t="s">
        <v>98</v>
      </c>
      <c r="G15" s="177" t="s">
        <v>99</v>
      </c>
      <c r="H15" s="177" t="s">
        <v>100</v>
      </c>
      <c r="I15" s="177" t="s">
        <v>101</v>
      </c>
      <c r="L15" s="74" t="s">
        <v>109</v>
      </c>
      <c r="M15" s="75"/>
      <c r="N15" s="75"/>
      <c r="O15" s="75"/>
      <c r="P15" s="75"/>
      <c r="Q15" s="96"/>
      <c r="R15" s="76"/>
    </row>
    <row r="16" spans="1:28" ht="15.75" x14ac:dyDescent="0.25">
      <c r="A16" s="213"/>
      <c r="C16" s="216"/>
      <c r="D16" s="217"/>
      <c r="E16" s="75"/>
      <c r="F16" s="178"/>
      <c r="G16" s="178"/>
      <c r="H16" s="178"/>
      <c r="I16" s="179"/>
      <c r="L16" s="79"/>
      <c r="Q16" s="97" t="s">
        <v>72</v>
      </c>
      <c r="R16" s="98" t="s">
        <v>72</v>
      </c>
    </row>
    <row r="17" spans="1:25" ht="15.75" x14ac:dyDescent="0.25">
      <c r="A17" s="211" t="s">
        <v>124</v>
      </c>
      <c r="C17" s="225" t="e">
        <f>'Net LEA Amounts'!#REF!</f>
        <v>#REF!</v>
      </c>
      <c r="D17" s="226" t="e">
        <f>'Net LEA Amounts'!#REF!</f>
        <v>#REF!</v>
      </c>
      <c r="E17" s="360">
        <v>0</v>
      </c>
      <c r="F17" s="180">
        <v>0</v>
      </c>
      <c r="G17" s="180">
        <v>0</v>
      </c>
      <c r="H17" s="180">
        <v>0</v>
      </c>
      <c r="I17" s="181">
        <v>0</v>
      </c>
      <c r="L17" s="99" t="s">
        <v>108</v>
      </c>
      <c r="M17" s="100" t="s">
        <v>104</v>
      </c>
      <c r="N17" s="100" t="s">
        <v>105</v>
      </c>
      <c r="O17" s="100" t="s">
        <v>106</v>
      </c>
      <c r="Q17" s="97" t="s">
        <v>129</v>
      </c>
      <c r="R17" s="98" t="s">
        <v>130</v>
      </c>
    </row>
    <row r="18" spans="1:25" ht="15.75" x14ac:dyDescent="0.25">
      <c r="A18" s="211" t="s">
        <v>236</v>
      </c>
      <c r="C18" s="103">
        <f>'GASB 75 Sch Input CY'!B39</f>
        <v>39551500</v>
      </c>
      <c r="D18" s="102">
        <f>'GASB 75 Sch Input PY '!B39</f>
        <v>100285314</v>
      </c>
      <c r="E18" s="102">
        <v>171066452</v>
      </c>
      <c r="F18" s="182">
        <v>0</v>
      </c>
      <c r="G18" s="182">
        <v>0</v>
      </c>
      <c r="H18" s="182">
        <v>0</v>
      </c>
      <c r="I18" s="183">
        <v>0</v>
      </c>
      <c r="L18" s="101">
        <f>L7-1</f>
        <v>2023</v>
      </c>
      <c r="M18" s="102" t="e">
        <f>D26</f>
        <v>#REF!</v>
      </c>
      <c r="N18" s="102" t="e">
        <f>ROUND(IF(M18=0,0,M18/D22),0)</f>
        <v>#REF!</v>
      </c>
      <c r="O18" s="102" t="e">
        <f t="shared" ref="O18:O24" si="10">M18-N18</f>
        <v>#REF!</v>
      </c>
      <c r="Q18" s="103" t="e">
        <f t="shared" ref="Q18:Q24" si="11">IF(O18&gt;0,O18,0)</f>
        <v>#REF!</v>
      </c>
      <c r="R18" s="104" t="e">
        <f>IF(O18&lt;0,O18,0)</f>
        <v>#REF!</v>
      </c>
    </row>
    <row r="19" spans="1:25" ht="15.75" x14ac:dyDescent="0.25">
      <c r="A19" s="211" t="s">
        <v>327</v>
      </c>
      <c r="C19" s="103">
        <f>'GASB 75 Sch Input CY'!B21</f>
        <v>-41636097</v>
      </c>
      <c r="D19" s="102">
        <f>'GASB 75 Sch Input PY '!B21</f>
        <v>-158249117</v>
      </c>
      <c r="E19" s="102">
        <v>2483325251</v>
      </c>
      <c r="F19" s="182">
        <v>0</v>
      </c>
      <c r="G19" s="182">
        <v>0</v>
      </c>
      <c r="H19" s="182">
        <v>0</v>
      </c>
      <c r="I19" s="183">
        <v>0</v>
      </c>
      <c r="L19" s="101">
        <f t="shared" ref="L19:L24" si="12">L18+1</f>
        <v>2024</v>
      </c>
      <c r="M19" s="102" t="e">
        <f t="shared" ref="M19:M24" si="13">O18</f>
        <v>#REF!</v>
      </c>
      <c r="N19" s="102" t="e">
        <f>IF($D$22&lt;=2,O18,N18)</f>
        <v>#REF!</v>
      </c>
      <c r="O19" s="102" t="e">
        <f t="shared" si="10"/>
        <v>#REF!</v>
      </c>
      <c r="Q19" s="103" t="e">
        <f t="shared" si="11"/>
        <v>#REF!</v>
      </c>
      <c r="R19" s="104" t="e">
        <f t="shared" ref="R19:R24" si="14">IF(O19&lt;0,O19,0)</f>
        <v>#REF!</v>
      </c>
    </row>
    <row r="20" spans="1:25" ht="15.75" x14ac:dyDescent="0.25">
      <c r="A20" s="211" t="s">
        <v>237</v>
      </c>
      <c r="C20" s="103">
        <f>-'GASB 75 Sch Input CY'!L21</f>
        <v>-202009399</v>
      </c>
      <c r="D20" s="102">
        <f>-'GASB 75 Sch Input PY '!L21</f>
        <v>-129129854</v>
      </c>
      <c r="E20" s="102">
        <v>0</v>
      </c>
      <c r="F20" s="182">
        <v>0</v>
      </c>
      <c r="G20" s="182">
        <v>0</v>
      </c>
      <c r="H20" s="182">
        <v>0</v>
      </c>
      <c r="I20" s="183">
        <v>0</v>
      </c>
      <c r="L20" s="101">
        <f t="shared" si="12"/>
        <v>2025</v>
      </c>
      <c r="M20" s="102" t="e">
        <f t="shared" si="13"/>
        <v>#REF!</v>
      </c>
      <c r="N20" s="102" t="e">
        <f>IF($D$22&lt;=3,O19,N19)</f>
        <v>#REF!</v>
      </c>
      <c r="O20" s="102" t="e">
        <f t="shared" si="10"/>
        <v>#REF!</v>
      </c>
      <c r="Q20" s="103" t="e">
        <f t="shared" si="11"/>
        <v>#REF!</v>
      </c>
      <c r="R20" s="104" t="e">
        <f t="shared" si="14"/>
        <v>#REF!</v>
      </c>
    </row>
    <row r="21" spans="1:25" ht="15.75" x14ac:dyDescent="0.25">
      <c r="A21" s="211" t="s">
        <v>238</v>
      </c>
      <c r="C21" s="103">
        <f>'GASB 75 Sch Input CY'!X21</f>
        <v>179625375</v>
      </c>
      <c r="D21" s="102">
        <f>'GASB 75 Sch Input PY '!X21</f>
        <v>268541180</v>
      </c>
      <c r="E21" s="102">
        <v>0</v>
      </c>
      <c r="F21" s="182">
        <v>0</v>
      </c>
      <c r="G21" s="182">
        <v>0</v>
      </c>
      <c r="H21" s="182">
        <v>0</v>
      </c>
      <c r="I21" s="183">
        <v>0</v>
      </c>
      <c r="L21" s="101">
        <f t="shared" si="12"/>
        <v>2026</v>
      </c>
      <c r="M21" s="102" t="e">
        <f t="shared" si="13"/>
        <v>#REF!</v>
      </c>
      <c r="N21" s="102" t="e">
        <f>IF($D$22&lt;=4,O20,N20)</f>
        <v>#REF!</v>
      </c>
      <c r="O21" s="102" t="e">
        <f t="shared" si="10"/>
        <v>#REF!</v>
      </c>
      <c r="Q21" s="103" t="e">
        <f t="shared" si="11"/>
        <v>#REF!</v>
      </c>
      <c r="R21" s="104" t="e">
        <f t="shared" si="14"/>
        <v>#REF!</v>
      </c>
      <c r="Y21" s="26"/>
    </row>
    <row r="22" spans="1:25" x14ac:dyDescent="0.2">
      <c r="A22" s="202" t="s">
        <v>102</v>
      </c>
      <c r="C22" s="218">
        <f>'GASB 75 Sch Input CY'!F49</f>
        <v>3.4498000000000002</v>
      </c>
      <c r="D22" s="291">
        <v>4.7140000000000004</v>
      </c>
      <c r="E22" s="219">
        <v>0</v>
      </c>
      <c r="F22" s="184">
        <v>0</v>
      </c>
      <c r="G22" s="184">
        <v>0</v>
      </c>
      <c r="H22" s="184">
        <v>0</v>
      </c>
      <c r="I22" s="185">
        <v>0</v>
      </c>
      <c r="L22" s="101">
        <f t="shared" si="12"/>
        <v>2027</v>
      </c>
      <c r="M22" s="102" t="e">
        <f t="shared" si="13"/>
        <v>#REF!</v>
      </c>
      <c r="N22" s="102" t="e">
        <f>IF($D$22&lt;=5,O21,N21)</f>
        <v>#REF!</v>
      </c>
      <c r="O22" s="102" t="e">
        <f t="shared" si="10"/>
        <v>#REF!</v>
      </c>
      <c r="Q22" s="103" t="e">
        <f t="shared" si="11"/>
        <v>#REF!</v>
      </c>
      <c r="R22" s="104" t="e">
        <f t="shared" si="14"/>
        <v>#REF!</v>
      </c>
    </row>
    <row r="23" spans="1:25" x14ac:dyDescent="0.2">
      <c r="A23" s="202" t="s">
        <v>187</v>
      </c>
      <c r="C23" s="103" t="e">
        <f>ROUND((C17-D17)*D20,8)</f>
        <v>#REF!</v>
      </c>
      <c r="D23" s="220" t="e">
        <f>ROUND((D17-E17)*E20,8)</f>
        <v>#REF!</v>
      </c>
      <c r="E23" s="102">
        <v>0</v>
      </c>
      <c r="F23" s="182">
        <v>0</v>
      </c>
      <c r="G23" s="182">
        <v>0</v>
      </c>
      <c r="H23" s="182">
        <v>0</v>
      </c>
      <c r="I23" s="183">
        <v>0</v>
      </c>
      <c r="L23" s="101">
        <f>L22+1</f>
        <v>2028</v>
      </c>
      <c r="M23" s="102" t="e">
        <f>O22</f>
        <v>#REF!</v>
      </c>
      <c r="N23" s="102" t="e">
        <f>IF($D$22&lt;=6,O22,N22)</f>
        <v>#REF!</v>
      </c>
      <c r="O23" s="102" t="e">
        <f t="shared" si="10"/>
        <v>#REF!</v>
      </c>
      <c r="Q23" s="103" t="e">
        <f t="shared" si="11"/>
        <v>#REF!</v>
      </c>
      <c r="R23" s="104" t="e">
        <f t="shared" si="14"/>
        <v>#REF!</v>
      </c>
    </row>
    <row r="24" spans="1:25" ht="15.75" thickBot="1" x14ac:dyDescent="0.25">
      <c r="A24" s="202" t="s">
        <v>188</v>
      </c>
      <c r="C24" s="103" t="e">
        <f>ROUND((C17-D17)*D21,8)</f>
        <v>#REF!</v>
      </c>
      <c r="D24" s="220" t="e">
        <f>ROUND((D17-E17)*E21,8)</f>
        <v>#REF!</v>
      </c>
      <c r="E24" s="102">
        <v>0</v>
      </c>
      <c r="F24" s="182">
        <v>0</v>
      </c>
      <c r="G24" s="182">
        <v>0</v>
      </c>
      <c r="H24" s="182">
        <v>0</v>
      </c>
      <c r="I24" s="183">
        <v>0</v>
      </c>
      <c r="L24" s="105">
        <f t="shared" si="12"/>
        <v>2029</v>
      </c>
      <c r="M24" s="106" t="e">
        <f t="shared" si="13"/>
        <v>#REF!</v>
      </c>
      <c r="N24" s="106" t="e">
        <f>IF($D$22&lt;=7,O23,N23)</f>
        <v>#REF!</v>
      </c>
      <c r="O24" s="106" t="e">
        <f t="shared" si="10"/>
        <v>#REF!</v>
      </c>
      <c r="P24" s="45"/>
      <c r="Q24" s="107" t="e">
        <f t="shared" si="11"/>
        <v>#REF!</v>
      </c>
      <c r="R24" s="108" t="e">
        <f t="shared" si="14"/>
        <v>#REF!</v>
      </c>
    </row>
    <row r="25" spans="1:25" ht="15.75" customHeight="1" thickBot="1" x14ac:dyDescent="0.25">
      <c r="A25" s="212" t="s">
        <v>337</v>
      </c>
      <c r="C25" s="103" t="e">
        <f t="shared" ref="C25:H25" si="15">ROUND((C17-D17)*D19,8)</f>
        <v>#REF!</v>
      </c>
      <c r="D25" s="102" t="e">
        <f t="shared" si="15"/>
        <v>#REF!</v>
      </c>
      <c r="E25" s="102">
        <f t="shared" si="15"/>
        <v>0</v>
      </c>
      <c r="F25" s="182">
        <f t="shared" si="15"/>
        <v>0</v>
      </c>
      <c r="G25" s="182">
        <f t="shared" si="15"/>
        <v>0</v>
      </c>
      <c r="H25" s="182">
        <f t="shared" si="15"/>
        <v>0</v>
      </c>
      <c r="I25" s="183">
        <f>ROUND((I17-J17)*J18,8)</f>
        <v>0</v>
      </c>
    </row>
    <row r="26" spans="1:25" ht="15" customHeight="1" thickBot="1" x14ac:dyDescent="0.25">
      <c r="A26" s="212" t="s">
        <v>189</v>
      </c>
      <c r="C26" s="221" t="e">
        <f t="shared" ref="C26:I26" si="16">SUM(C23:C25)</f>
        <v>#REF!</v>
      </c>
      <c r="D26" s="118" t="e">
        <f t="shared" si="16"/>
        <v>#REF!</v>
      </c>
      <c r="E26" s="118">
        <f t="shared" si="16"/>
        <v>0</v>
      </c>
      <c r="F26" s="186">
        <f t="shared" si="16"/>
        <v>0</v>
      </c>
      <c r="G26" s="186">
        <f t="shared" si="16"/>
        <v>0</v>
      </c>
      <c r="H26" s="186">
        <f t="shared" si="16"/>
        <v>0</v>
      </c>
      <c r="I26" s="187">
        <f t="shared" si="16"/>
        <v>0</v>
      </c>
      <c r="L26" s="74" t="s">
        <v>110</v>
      </c>
      <c r="M26" s="75"/>
      <c r="N26" s="75"/>
      <c r="O26" s="75"/>
      <c r="P26" s="75"/>
      <c r="Q26" s="96"/>
      <c r="R26" s="76"/>
    </row>
    <row r="27" spans="1:25" ht="15.75" customHeight="1" thickTop="1" thickBot="1" x14ac:dyDescent="0.3">
      <c r="A27" s="199"/>
      <c r="B27" s="45"/>
      <c r="C27" s="199"/>
      <c r="D27" s="45"/>
      <c r="E27" s="45"/>
      <c r="F27" s="188"/>
      <c r="G27" s="188"/>
      <c r="H27" s="188"/>
      <c r="I27" s="189"/>
      <c r="L27" s="79"/>
      <c r="Q27" s="97" t="s">
        <v>72</v>
      </c>
      <c r="R27" s="98" t="s">
        <v>72</v>
      </c>
    </row>
    <row r="28" spans="1:25" ht="16.5" thickBot="1" x14ac:dyDescent="0.3">
      <c r="L28" s="99" t="s">
        <v>108</v>
      </c>
      <c r="M28" s="100" t="s">
        <v>104</v>
      </c>
      <c r="N28" s="100" t="s">
        <v>105</v>
      </c>
      <c r="O28" s="100" t="s">
        <v>106</v>
      </c>
      <c r="Q28" s="97" t="s">
        <v>129</v>
      </c>
      <c r="R28" s="98" t="s">
        <v>130</v>
      </c>
    </row>
    <row r="29" spans="1:25" ht="15.75" x14ac:dyDescent="0.25">
      <c r="A29" s="110" t="s">
        <v>115</v>
      </c>
      <c r="B29" s="75"/>
      <c r="C29" s="75"/>
      <c r="D29" s="76"/>
      <c r="L29" s="101">
        <f>L18-1</f>
        <v>2022</v>
      </c>
      <c r="M29" s="102">
        <f>E26</f>
        <v>0</v>
      </c>
      <c r="N29" s="102">
        <f>ROUND(IF(M29=0,0,M29/E22),0)</f>
        <v>0</v>
      </c>
      <c r="O29" s="102">
        <f t="shared" ref="O29:O35" si="17">M29-N29</f>
        <v>0</v>
      </c>
      <c r="Q29" s="103">
        <f t="shared" ref="Q29:Q35" si="18">IF(O29&gt;0,O29,0)</f>
        <v>0</v>
      </c>
      <c r="R29" s="104">
        <f>IF(O29&lt;0,O29,0)</f>
        <v>0</v>
      </c>
    </row>
    <row r="30" spans="1:25" x14ac:dyDescent="0.2">
      <c r="A30" s="111" t="s">
        <v>94</v>
      </c>
      <c r="B30" s="112"/>
      <c r="C30" s="113" t="s">
        <v>7</v>
      </c>
      <c r="D30" s="114"/>
      <c r="E30" s="113"/>
      <c r="F30" s="113"/>
      <c r="L30" s="101">
        <f t="shared" ref="L30:L35" si="19">L29+1</f>
        <v>2023</v>
      </c>
      <c r="M30" s="102">
        <f t="shared" ref="M30:M35" si="20">O29</f>
        <v>0</v>
      </c>
      <c r="N30" s="102">
        <f>IF($E$22&lt;=2,O29,N29)</f>
        <v>0</v>
      </c>
      <c r="O30" s="102">
        <f t="shared" si="17"/>
        <v>0</v>
      </c>
      <c r="Q30" s="103">
        <f t="shared" si="18"/>
        <v>0</v>
      </c>
      <c r="R30" s="104">
        <f t="shared" ref="R30:R35" si="21">IF(O30&lt;0,O30,0)</f>
        <v>0</v>
      </c>
    </row>
    <row r="31" spans="1:25" x14ac:dyDescent="0.2">
      <c r="A31" s="115">
        <f>C14</f>
        <v>2024</v>
      </c>
      <c r="B31" s="112"/>
      <c r="C31" s="102" t="e">
        <f>N7</f>
        <v>#REF!</v>
      </c>
      <c r="D31" s="104"/>
      <c r="E31" s="102"/>
      <c r="L31" s="101">
        <f t="shared" si="19"/>
        <v>2024</v>
      </c>
      <c r="M31" s="102">
        <f t="shared" si="20"/>
        <v>0</v>
      </c>
      <c r="N31" s="102">
        <f>IF($E$22&lt;=3,O30,N30)</f>
        <v>0</v>
      </c>
      <c r="O31" s="102">
        <f t="shared" si="17"/>
        <v>0</v>
      </c>
      <c r="Q31" s="103">
        <f t="shared" si="18"/>
        <v>0</v>
      </c>
      <c r="R31" s="104">
        <f t="shared" si="21"/>
        <v>0</v>
      </c>
    </row>
    <row r="32" spans="1:25" x14ac:dyDescent="0.2">
      <c r="A32" s="115">
        <f>D14</f>
        <v>2023</v>
      </c>
      <c r="B32" s="112"/>
      <c r="C32" s="102" t="e">
        <f>N19</f>
        <v>#REF!</v>
      </c>
      <c r="D32" s="104"/>
      <c r="E32" s="102"/>
      <c r="L32" s="101">
        <f t="shared" si="19"/>
        <v>2025</v>
      </c>
      <c r="M32" s="102">
        <f t="shared" si="20"/>
        <v>0</v>
      </c>
      <c r="N32" s="102">
        <f>IF($E$22&lt;=4,O31,N31)</f>
        <v>0</v>
      </c>
      <c r="O32" s="102">
        <f t="shared" si="17"/>
        <v>0</v>
      </c>
      <c r="Q32" s="103">
        <f t="shared" si="18"/>
        <v>0</v>
      </c>
      <c r="R32" s="104">
        <f t="shared" si="21"/>
        <v>0</v>
      </c>
    </row>
    <row r="33" spans="1:18" x14ac:dyDescent="0.2">
      <c r="A33" s="115">
        <f>E14</f>
        <v>2022</v>
      </c>
      <c r="B33" s="112"/>
      <c r="C33" s="102">
        <f>N31</f>
        <v>0</v>
      </c>
      <c r="D33" s="116"/>
      <c r="E33" s="102"/>
      <c r="L33" s="101">
        <f t="shared" si="19"/>
        <v>2026</v>
      </c>
      <c r="M33" s="102">
        <f t="shared" si="20"/>
        <v>0</v>
      </c>
      <c r="N33" s="102">
        <f>IF($E$22&lt;=5,O32,N32)</f>
        <v>0</v>
      </c>
      <c r="O33" s="102">
        <f t="shared" si="17"/>
        <v>0</v>
      </c>
      <c r="Q33" s="103">
        <f t="shared" si="18"/>
        <v>0</v>
      </c>
      <c r="R33" s="104">
        <f t="shared" si="21"/>
        <v>0</v>
      </c>
    </row>
    <row r="34" spans="1:18" ht="15.75" x14ac:dyDescent="0.25">
      <c r="A34" s="115">
        <f>F14</f>
        <v>2021</v>
      </c>
      <c r="B34" s="112"/>
      <c r="C34" s="102">
        <f>N43</f>
        <v>0</v>
      </c>
      <c r="D34" s="116"/>
      <c r="E34" s="102"/>
      <c r="G34" s="22"/>
      <c r="H34" s="22"/>
      <c r="I34" s="22"/>
      <c r="L34" s="101">
        <f t="shared" si="19"/>
        <v>2027</v>
      </c>
      <c r="M34" s="102">
        <f t="shared" si="20"/>
        <v>0</v>
      </c>
      <c r="N34" s="102">
        <f>IF($E$22&lt;=6,O33,N33)</f>
        <v>0</v>
      </c>
      <c r="O34" s="102">
        <f t="shared" si="17"/>
        <v>0</v>
      </c>
      <c r="Q34" s="103">
        <f t="shared" si="18"/>
        <v>0</v>
      </c>
      <c r="R34" s="104">
        <f t="shared" si="21"/>
        <v>0</v>
      </c>
    </row>
    <row r="35" spans="1:18" ht="16.5" thickBot="1" x14ac:dyDescent="0.3">
      <c r="A35" s="115">
        <f>G14</f>
        <v>2020</v>
      </c>
      <c r="B35" s="112"/>
      <c r="C35" s="102">
        <f>N55</f>
        <v>0</v>
      </c>
      <c r="D35" s="116"/>
      <c r="E35" s="102"/>
      <c r="G35" s="29"/>
      <c r="H35" s="29"/>
      <c r="I35" s="29"/>
      <c r="L35" s="105">
        <f t="shared" si="19"/>
        <v>2028</v>
      </c>
      <c r="M35" s="106">
        <f t="shared" si="20"/>
        <v>0</v>
      </c>
      <c r="N35" s="106">
        <f>IF($E$22&lt;=7,O34,N34)</f>
        <v>0</v>
      </c>
      <c r="O35" s="106">
        <f t="shared" si="17"/>
        <v>0</v>
      </c>
      <c r="P35" s="45"/>
      <c r="Q35" s="107">
        <f t="shared" si="18"/>
        <v>0</v>
      </c>
      <c r="R35" s="108">
        <f t="shared" si="21"/>
        <v>0</v>
      </c>
    </row>
    <row r="36" spans="1:18" ht="15.75" thickBot="1" x14ac:dyDescent="0.25">
      <c r="A36" s="115">
        <f>H14</f>
        <v>2019</v>
      </c>
      <c r="B36" s="112"/>
      <c r="C36" s="102">
        <f>N67</f>
        <v>0</v>
      </c>
      <c r="D36" s="116"/>
      <c r="E36" s="102"/>
      <c r="G36" s="7"/>
      <c r="H36" s="7"/>
      <c r="I36" s="7"/>
    </row>
    <row r="37" spans="1:18" x14ac:dyDescent="0.2">
      <c r="A37" s="115">
        <f>I14</f>
        <v>2018</v>
      </c>
      <c r="B37" s="112"/>
      <c r="C37" s="102">
        <f>N79</f>
        <v>0</v>
      </c>
      <c r="D37" s="116"/>
      <c r="E37" s="102"/>
      <c r="L37" s="74" t="s">
        <v>111</v>
      </c>
      <c r="M37" s="75"/>
      <c r="N37" s="75"/>
      <c r="O37" s="75"/>
      <c r="P37" s="75"/>
      <c r="Q37" s="96"/>
      <c r="R37" s="76"/>
    </row>
    <row r="38" spans="1:18" ht="16.5" thickBot="1" x14ac:dyDescent="0.3">
      <c r="A38" s="127" t="s">
        <v>116</v>
      </c>
      <c r="B38" s="112"/>
      <c r="C38" s="118" t="e">
        <f>SUM(C31:C37)</f>
        <v>#REF!</v>
      </c>
      <c r="D38" s="104"/>
      <c r="E38" s="102"/>
      <c r="L38" s="79"/>
      <c r="Q38" s="97" t="s">
        <v>72</v>
      </c>
      <c r="R38" s="98" t="s">
        <v>72</v>
      </c>
    </row>
    <row r="39" spans="1:18" ht="16.5" thickTop="1" x14ac:dyDescent="0.25">
      <c r="A39" s="127"/>
      <c r="B39" s="112"/>
      <c r="C39" s="102"/>
      <c r="D39" s="119"/>
      <c r="L39" s="99" t="s">
        <v>108</v>
      </c>
      <c r="M39" s="100" t="s">
        <v>104</v>
      </c>
      <c r="N39" s="100" t="s">
        <v>105</v>
      </c>
      <c r="O39" s="100" t="s">
        <v>106</v>
      </c>
      <c r="Q39" s="97" t="s">
        <v>129</v>
      </c>
      <c r="R39" s="98" t="s">
        <v>130</v>
      </c>
    </row>
    <row r="40" spans="1:18" ht="15.75" thickBot="1" x14ac:dyDescent="0.25">
      <c r="A40" s="120"/>
      <c r="B40" s="45"/>
      <c r="C40" s="45"/>
      <c r="D40" s="121"/>
      <c r="F40" s="102"/>
      <c r="G40" s="128"/>
      <c r="L40" s="101">
        <f>L29-1</f>
        <v>2021</v>
      </c>
      <c r="M40" s="102">
        <f>F26</f>
        <v>0</v>
      </c>
      <c r="N40" s="102">
        <f>ROUND(IF(M40=0,0,M40/F22),0)</f>
        <v>0</v>
      </c>
      <c r="O40" s="102">
        <f t="shared" ref="O40:O46" si="22">M40-N40</f>
        <v>0</v>
      </c>
      <c r="Q40" s="103">
        <f t="shared" ref="Q40:Q46" si="23">IF(O40&gt;0,O40,0)</f>
        <v>0</v>
      </c>
      <c r="R40" s="104">
        <f>IF(O40&lt;0,O40,0)</f>
        <v>0</v>
      </c>
    </row>
    <row r="41" spans="1:18" x14ac:dyDescent="0.2">
      <c r="L41" s="101">
        <f t="shared" ref="L41:L46" si="24">L40+1</f>
        <v>2022</v>
      </c>
      <c r="M41" s="102">
        <f t="shared" ref="M41:M46" si="25">O40</f>
        <v>0</v>
      </c>
      <c r="N41" s="102">
        <f>IF($F$22&lt;=2,O40,N40)</f>
        <v>0</v>
      </c>
      <c r="O41" s="102">
        <f t="shared" si="22"/>
        <v>0</v>
      </c>
      <c r="Q41" s="103">
        <f t="shared" si="23"/>
        <v>0</v>
      </c>
      <c r="R41" s="104">
        <f t="shared" ref="R41:R46" si="26">IF(O41&lt;0,O41,0)</f>
        <v>0</v>
      </c>
    </row>
    <row r="42" spans="1:18" ht="15.75" thickBot="1" x14ac:dyDescent="0.25">
      <c r="L42" s="101">
        <f t="shared" si="24"/>
        <v>2023</v>
      </c>
      <c r="M42" s="102">
        <f t="shared" si="25"/>
        <v>0</v>
      </c>
      <c r="N42" s="102">
        <f>IF($F$22&lt;=3,O41,N41)</f>
        <v>0</v>
      </c>
      <c r="O42" s="102">
        <f t="shared" si="22"/>
        <v>0</v>
      </c>
      <c r="Q42" s="103">
        <f t="shared" si="23"/>
        <v>0</v>
      </c>
      <c r="R42" s="104">
        <f t="shared" si="26"/>
        <v>0</v>
      </c>
    </row>
    <row r="43" spans="1:18" ht="15.75" x14ac:dyDescent="0.25">
      <c r="A43" s="110" t="s">
        <v>117</v>
      </c>
      <c r="B43" s="75"/>
      <c r="C43" s="75"/>
      <c r="D43" s="75"/>
      <c r="E43" s="76"/>
      <c r="L43" s="101">
        <f t="shared" si="24"/>
        <v>2024</v>
      </c>
      <c r="M43" s="102">
        <f t="shared" si="25"/>
        <v>0</v>
      </c>
      <c r="N43" s="102">
        <f>IF($F$22&lt;=4,O42,N42)</f>
        <v>0</v>
      </c>
      <c r="O43" s="102">
        <f t="shared" si="22"/>
        <v>0</v>
      </c>
      <c r="Q43" s="103">
        <f t="shared" si="23"/>
        <v>0</v>
      </c>
      <c r="R43" s="104">
        <f t="shared" si="26"/>
        <v>0</v>
      </c>
    </row>
    <row r="44" spans="1:18" x14ac:dyDescent="0.2">
      <c r="A44" s="111"/>
      <c r="B44" s="112"/>
      <c r="C44" s="112"/>
      <c r="D44" s="112"/>
      <c r="E44" s="77"/>
      <c r="L44" s="101">
        <f t="shared" si="24"/>
        <v>2025</v>
      </c>
      <c r="M44" s="102">
        <f t="shared" si="25"/>
        <v>0</v>
      </c>
      <c r="N44" s="102">
        <f>IF($F$22&lt;=5,O43,N43)</f>
        <v>0</v>
      </c>
      <c r="O44" s="102">
        <f t="shared" si="22"/>
        <v>0</v>
      </c>
      <c r="Q44" s="103">
        <f t="shared" si="23"/>
        <v>0</v>
      </c>
      <c r="R44" s="104">
        <f t="shared" si="26"/>
        <v>0</v>
      </c>
    </row>
    <row r="45" spans="1:18" x14ac:dyDescent="0.2">
      <c r="A45" s="111"/>
      <c r="B45" s="112"/>
      <c r="C45" s="634" t="s">
        <v>118</v>
      </c>
      <c r="D45" s="634" t="s">
        <v>119</v>
      </c>
      <c r="E45" s="635" t="s">
        <v>216</v>
      </c>
      <c r="L45" s="101">
        <f t="shared" si="24"/>
        <v>2026</v>
      </c>
      <c r="M45" s="102">
        <f t="shared" si="25"/>
        <v>0</v>
      </c>
      <c r="N45" s="102">
        <f>IF($F$22&lt;=6,O44,N44)</f>
        <v>0</v>
      </c>
      <c r="O45" s="102">
        <f t="shared" si="22"/>
        <v>0</v>
      </c>
      <c r="Q45" s="103">
        <f t="shared" si="23"/>
        <v>0</v>
      </c>
      <c r="R45" s="104">
        <f t="shared" si="26"/>
        <v>0</v>
      </c>
    </row>
    <row r="46" spans="1:18" ht="15.75" thickBot="1" x14ac:dyDescent="0.25">
      <c r="A46" s="111" t="s">
        <v>121</v>
      </c>
      <c r="B46" s="112"/>
      <c r="C46" s="634"/>
      <c r="D46" s="634"/>
      <c r="E46" s="635"/>
      <c r="L46" s="105">
        <f t="shared" si="24"/>
        <v>2027</v>
      </c>
      <c r="M46" s="106">
        <f t="shared" si="25"/>
        <v>0</v>
      </c>
      <c r="N46" s="106">
        <f>IF($F$22&lt;=7,O45,N45)</f>
        <v>0</v>
      </c>
      <c r="O46" s="106">
        <f t="shared" si="22"/>
        <v>0</v>
      </c>
      <c r="P46" s="45"/>
      <c r="Q46" s="107">
        <f t="shared" si="23"/>
        <v>0</v>
      </c>
      <c r="R46" s="108">
        <f t="shared" si="26"/>
        <v>0</v>
      </c>
    </row>
    <row r="47" spans="1:18" ht="15.75" thickBot="1" x14ac:dyDescent="0.25">
      <c r="A47" s="115">
        <f>C14</f>
        <v>2024</v>
      </c>
      <c r="B47" s="112"/>
      <c r="C47" s="78" t="e">
        <f>ROUND(Q7,0)</f>
        <v>#REF!</v>
      </c>
      <c r="D47" s="78" t="e">
        <f>ROUND(R7,0)</f>
        <v>#REF!</v>
      </c>
      <c r="E47" s="104" t="e">
        <f>SUM(C47:D47)</f>
        <v>#REF!</v>
      </c>
    </row>
    <row r="48" spans="1:18" x14ac:dyDescent="0.2">
      <c r="A48" s="115">
        <f>D14</f>
        <v>2023</v>
      </c>
      <c r="B48" s="112"/>
      <c r="C48" s="78" t="e">
        <f>ROUND(Q19,0)</f>
        <v>#REF!</v>
      </c>
      <c r="D48" s="78" t="e">
        <f>ROUND(R19,0)</f>
        <v>#REF!</v>
      </c>
      <c r="E48" s="104" t="e">
        <f t="shared" ref="E48:E53" si="27">SUM(C48:D48)</f>
        <v>#REF!</v>
      </c>
      <c r="G48" s="26"/>
      <c r="L48" s="74" t="s">
        <v>112</v>
      </c>
      <c r="M48" s="75"/>
      <c r="N48" s="75"/>
      <c r="O48" s="75"/>
      <c r="P48" s="75"/>
      <c r="Q48" s="96"/>
      <c r="R48" s="76"/>
    </row>
    <row r="49" spans="1:18" ht="15.75" x14ac:dyDescent="0.25">
      <c r="A49" s="115">
        <f>E14</f>
        <v>2022</v>
      </c>
      <c r="B49" s="112"/>
      <c r="C49" s="78">
        <f>ROUND(Q31,0)</f>
        <v>0</v>
      </c>
      <c r="D49" s="78">
        <f>ROUND(R31,0)</f>
        <v>0</v>
      </c>
      <c r="E49" s="104">
        <f t="shared" si="27"/>
        <v>0</v>
      </c>
      <c r="L49" s="79"/>
      <c r="Q49" s="97" t="s">
        <v>72</v>
      </c>
      <c r="R49" s="98" t="s">
        <v>72</v>
      </c>
    </row>
    <row r="50" spans="1:18" ht="15.75" x14ac:dyDescent="0.25">
      <c r="A50" s="115">
        <f>F14</f>
        <v>2021</v>
      </c>
      <c r="B50" s="112"/>
      <c r="C50" s="78">
        <f>ROUND(Q43,0)</f>
        <v>0</v>
      </c>
      <c r="D50" s="78">
        <f>ROUND(R43,0)</f>
        <v>0</v>
      </c>
      <c r="E50" s="104">
        <f t="shared" si="27"/>
        <v>0</v>
      </c>
      <c r="L50" s="99" t="s">
        <v>108</v>
      </c>
      <c r="M50" s="100" t="s">
        <v>104</v>
      </c>
      <c r="N50" s="100" t="s">
        <v>105</v>
      </c>
      <c r="O50" s="100" t="s">
        <v>106</v>
      </c>
      <c r="Q50" s="97" t="s">
        <v>129</v>
      </c>
      <c r="R50" s="98" t="s">
        <v>130</v>
      </c>
    </row>
    <row r="51" spans="1:18" x14ac:dyDescent="0.2">
      <c r="A51" s="115">
        <f>G14</f>
        <v>2020</v>
      </c>
      <c r="B51" s="112"/>
      <c r="C51" s="78">
        <f>ROUND(Q55,0)</f>
        <v>0</v>
      </c>
      <c r="D51" s="78">
        <f>ROUND(R55,0)</f>
        <v>0</v>
      </c>
      <c r="E51" s="104">
        <f t="shared" si="27"/>
        <v>0</v>
      </c>
      <c r="L51" s="101">
        <f>L40-1</f>
        <v>2020</v>
      </c>
      <c r="M51" s="102">
        <f>G26</f>
        <v>0</v>
      </c>
      <c r="N51" s="102">
        <f>ROUND(IF(M51=0,0,M51/G22),0)</f>
        <v>0</v>
      </c>
      <c r="O51" s="102">
        <f t="shared" ref="O51:O57" si="28">M51-N51</f>
        <v>0</v>
      </c>
      <c r="Q51" s="103">
        <f t="shared" ref="Q51:Q57" si="29">IF(O51&gt;0,O51,0)</f>
        <v>0</v>
      </c>
      <c r="R51" s="104">
        <f>IF(O51&lt;0,O51,0)</f>
        <v>0</v>
      </c>
    </row>
    <row r="52" spans="1:18" x14ac:dyDescent="0.2">
      <c r="A52" s="115">
        <f>H14</f>
        <v>2019</v>
      </c>
      <c r="B52" s="112"/>
      <c r="C52" s="78">
        <f>ROUND(Q67,0)</f>
        <v>0</v>
      </c>
      <c r="D52" s="78">
        <f>ROUND(R67,0)</f>
        <v>0</v>
      </c>
      <c r="E52" s="104">
        <f t="shared" si="27"/>
        <v>0</v>
      </c>
      <c r="L52" s="101">
        <f t="shared" ref="L52:L57" si="30">L51+1</f>
        <v>2021</v>
      </c>
      <c r="M52" s="102">
        <f t="shared" ref="M52:M57" si="31">O51</f>
        <v>0</v>
      </c>
      <c r="N52" s="102">
        <f>IF($G$22&lt;=2,O51,N51)</f>
        <v>0</v>
      </c>
      <c r="O52" s="102">
        <f t="shared" si="28"/>
        <v>0</v>
      </c>
      <c r="Q52" s="103">
        <f t="shared" si="29"/>
        <v>0</v>
      </c>
      <c r="R52" s="104">
        <f t="shared" ref="R52:R57" si="32">IF(O52&lt;0,O52,0)</f>
        <v>0</v>
      </c>
    </row>
    <row r="53" spans="1:18" x14ac:dyDescent="0.2">
      <c r="A53" s="115">
        <f>I14</f>
        <v>2018</v>
      </c>
      <c r="C53" s="102">
        <f>ROUND(Q79,0)</f>
        <v>0</v>
      </c>
      <c r="D53" s="102">
        <f>ROUND(R79,0)</f>
        <v>0</v>
      </c>
      <c r="E53" s="104">
        <f t="shared" si="27"/>
        <v>0</v>
      </c>
      <c r="L53" s="101">
        <f t="shared" si="30"/>
        <v>2022</v>
      </c>
      <c r="M53" s="102">
        <f t="shared" si="31"/>
        <v>0</v>
      </c>
      <c r="N53" s="102">
        <f>IF($G$22&lt;=3,O52,N52)</f>
        <v>0</v>
      </c>
      <c r="O53" s="102">
        <f t="shared" si="28"/>
        <v>0</v>
      </c>
      <c r="Q53" s="103">
        <f t="shared" si="29"/>
        <v>0</v>
      </c>
      <c r="R53" s="104">
        <f t="shared" si="32"/>
        <v>0</v>
      </c>
    </row>
    <row r="54" spans="1:18" ht="15.75" thickBot="1" x14ac:dyDescent="0.25">
      <c r="A54" s="117" t="s">
        <v>120</v>
      </c>
      <c r="B54" s="112"/>
      <c r="C54" s="118" t="e">
        <f>SUM(C47:C52)</f>
        <v>#REF!</v>
      </c>
      <c r="D54" s="118" t="e">
        <f>SUM(D47:D52)</f>
        <v>#REF!</v>
      </c>
      <c r="E54" s="109" t="e">
        <f>SUM(E47:E53)</f>
        <v>#REF!</v>
      </c>
      <c r="L54" s="101">
        <f t="shared" si="30"/>
        <v>2023</v>
      </c>
      <c r="M54" s="102">
        <f t="shared" si="31"/>
        <v>0</v>
      </c>
      <c r="N54" s="102">
        <f>IF($G$22&lt;=4,O53,N53)</f>
        <v>0</v>
      </c>
      <c r="O54" s="102">
        <f t="shared" si="28"/>
        <v>0</v>
      </c>
      <c r="Q54" s="103">
        <f t="shared" si="29"/>
        <v>0</v>
      </c>
      <c r="R54" s="104">
        <f t="shared" si="32"/>
        <v>0</v>
      </c>
    </row>
    <row r="55" spans="1:18" ht="15.75" thickTop="1" x14ac:dyDescent="0.2">
      <c r="A55" s="117"/>
      <c r="C55" s="102"/>
      <c r="D55" s="102"/>
      <c r="E55" s="77"/>
      <c r="L55" s="101">
        <f t="shared" si="30"/>
        <v>2024</v>
      </c>
      <c r="M55" s="102">
        <f t="shared" si="31"/>
        <v>0</v>
      </c>
      <c r="N55" s="102">
        <f>IF($G$22&lt;=5,O54,N54)</f>
        <v>0</v>
      </c>
      <c r="O55" s="102">
        <f t="shared" si="28"/>
        <v>0</v>
      </c>
      <c r="Q55" s="103">
        <f t="shared" si="29"/>
        <v>0</v>
      </c>
      <c r="R55" s="104">
        <f t="shared" si="32"/>
        <v>0</v>
      </c>
    </row>
    <row r="56" spans="1:18" x14ac:dyDescent="0.2">
      <c r="A56" s="79"/>
      <c r="E56" s="77"/>
      <c r="L56" s="101">
        <f t="shared" si="30"/>
        <v>2025</v>
      </c>
      <c r="M56" s="102">
        <f t="shared" si="31"/>
        <v>0</v>
      </c>
      <c r="N56" s="102">
        <f>IF($G$22&lt;=6,O55,N55)</f>
        <v>0</v>
      </c>
      <c r="O56" s="102">
        <f t="shared" si="28"/>
        <v>0</v>
      </c>
      <c r="Q56" s="103">
        <f t="shared" si="29"/>
        <v>0</v>
      </c>
      <c r="R56" s="104">
        <f t="shared" si="32"/>
        <v>0</v>
      </c>
    </row>
    <row r="57" spans="1:18" ht="15.75" thickBot="1" x14ac:dyDescent="0.25">
      <c r="A57" s="120"/>
      <c r="B57" s="45"/>
      <c r="C57" s="106"/>
      <c r="D57" s="106"/>
      <c r="E57" s="121"/>
      <c r="L57" s="105">
        <f t="shared" si="30"/>
        <v>2026</v>
      </c>
      <c r="M57" s="106">
        <f t="shared" si="31"/>
        <v>0</v>
      </c>
      <c r="N57" s="106">
        <f>IF($G$22&lt;=7,O56,N56)</f>
        <v>0</v>
      </c>
      <c r="O57" s="106">
        <f t="shared" si="28"/>
        <v>0</v>
      </c>
      <c r="P57" s="45"/>
      <c r="Q57" s="107">
        <f t="shared" si="29"/>
        <v>0</v>
      </c>
      <c r="R57" s="108">
        <f t="shared" si="32"/>
        <v>0</v>
      </c>
    </row>
    <row r="58" spans="1:18" ht="15.75" thickBot="1" x14ac:dyDescent="0.25"/>
    <row r="59" spans="1:18" x14ac:dyDescent="0.2">
      <c r="A59" s="129"/>
      <c r="L59" s="74" t="s">
        <v>113</v>
      </c>
      <c r="M59" s="75"/>
      <c r="N59" s="75"/>
      <c r="O59" s="75"/>
      <c r="P59" s="75"/>
      <c r="Q59" s="96"/>
      <c r="R59" s="76"/>
    </row>
    <row r="60" spans="1:18" ht="15" customHeight="1" x14ac:dyDescent="0.25">
      <c r="L60" s="79"/>
      <c r="Q60" s="97" t="s">
        <v>72</v>
      </c>
      <c r="R60" s="98" t="s">
        <v>72</v>
      </c>
    </row>
    <row r="61" spans="1:18" ht="15.75" x14ac:dyDescent="0.25">
      <c r="L61" s="99" t="s">
        <v>108</v>
      </c>
      <c r="M61" s="100" t="s">
        <v>104</v>
      </c>
      <c r="N61" s="100" t="s">
        <v>105</v>
      </c>
      <c r="O61" s="100" t="s">
        <v>106</v>
      </c>
      <c r="Q61" s="97" t="s">
        <v>129</v>
      </c>
      <c r="R61" s="98" t="s">
        <v>130</v>
      </c>
    </row>
    <row r="62" spans="1:18" x14ac:dyDescent="0.2">
      <c r="L62" s="101">
        <f>L51-1</f>
        <v>2019</v>
      </c>
      <c r="M62" s="102">
        <f>H26</f>
        <v>0</v>
      </c>
      <c r="N62" s="102">
        <f>ROUND(IF(M62=0,0,M62/H22),0)</f>
        <v>0</v>
      </c>
      <c r="O62" s="102">
        <f t="shared" ref="O62:O68" si="33">M62-N62</f>
        <v>0</v>
      </c>
      <c r="Q62" s="103">
        <f t="shared" ref="Q62:Q68" si="34">IF(O62&gt;0,O62,0)</f>
        <v>0</v>
      </c>
      <c r="R62" s="104">
        <f>IF(O62&lt;0,O62,0)</f>
        <v>0</v>
      </c>
    </row>
    <row r="63" spans="1:18" x14ac:dyDescent="0.2">
      <c r="L63" s="101">
        <f t="shared" ref="L63:L68" si="35">L62+1</f>
        <v>2020</v>
      </c>
      <c r="M63" s="102">
        <f t="shared" ref="M63:M68" si="36">O62</f>
        <v>0</v>
      </c>
      <c r="N63" s="102">
        <f>IF($H$22&lt;=2,O62,N62)</f>
        <v>0</v>
      </c>
      <c r="O63" s="102">
        <f t="shared" si="33"/>
        <v>0</v>
      </c>
      <c r="Q63" s="103">
        <f t="shared" si="34"/>
        <v>0</v>
      </c>
      <c r="R63" s="104">
        <f t="shared" ref="R63:R68" si="37">IF(O63&lt;0,O63,0)</f>
        <v>0</v>
      </c>
    </row>
    <row r="64" spans="1:18" x14ac:dyDescent="0.2">
      <c r="L64" s="101">
        <f t="shared" si="35"/>
        <v>2021</v>
      </c>
      <c r="M64" s="102">
        <f t="shared" si="36"/>
        <v>0</v>
      </c>
      <c r="N64" s="102">
        <f>IF($H$22&lt;=3,O63,N63)</f>
        <v>0</v>
      </c>
      <c r="O64" s="102">
        <f t="shared" si="33"/>
        <v>0</v>
      </c>
      <c r="Q64" s="103">
        <f t="shared" si="34"/>
        <v>0</v>
      </c>
      <c r="R64" s="104">
        <f t="shared" si="37"/>
        <v>0</v>
      </c>
    </row>
    <row r="65" spans="1:18" ht="15.75" thickBot="1" x14ac:dyDescent="0.25">
      <c r="L65" s="101">
        <f t="shared" si="35"/>
        <v>2022</v>
      </c>
      <c r="M65" s="102">
        <f t="shared" si="36"/>
        <v>0</v>
      </c>
      <c r="N65" s="102">
        <f>IF($H$22&lt;=4,O64,N64)</f>
        <v>0</v>
      </c>
      <c r="O65" s="102">
        <f t="shared" si="33"/>
        <v>0</v>
      </c>
      <c r="Q65" s="103">
        <f t="shared" si="34"/>
        <v>0</v>
      </c>
      <c r="R65" s="104">
        <f t="shared" si="37"/>
        <v>0</v>
      </c>
    </row>
    <row r="66" spans="1:18" ht="15.75" x14ac:dyDescent="0.25">
      <c r="A66" s="110" t="s">
        <v>214</v>
      </c>
      <c r="B66" s="75"/>
      <c r="C66" s="75"/>
      <c r="D66" s="75"/>
      <c r="E66" s="76"/>
      <c r="L66" s="101">
        <f t="shared" si="35"/>
        <v>2023</v>
      </c>
      <c r="M66" s="102">
        <f t="shared" si="36"/>
        <v>0</v>
      </c>
      <c r="N66" s="102">
        <f>IF($H$22&lt;=5,O65,N65)</f>
        <v>0</v>
      </c>
      <c r="O66" s="102">
        <f t="shared" si="33"/>
        <v>0</v>
      </c>
      <c r="Q66" s="103">
        <f t="shared" si="34"/>
        <v>0</v>
      </c>
      <c r="R66" s="104">
        <f t="shared" si="37"/>
        <v>0</v>
      </c>
    </row>
    <row r="67" spans="1:18" x14ac:dyDescent="0.2">
      <c r="A67" s="111"/>
      <c r="B67" s="112"/>
      <c r="C67" s="124" t="s">
        <v>217</v>
      </c>
      <c r="D67" s="112"/>
      <c r="E67" s="77"/>
      <c r="L67" s="101">
        <f t="shared" si="35"/>
        <v>2024</v>
      </c>
      <c r="M67" s="102">
        <f t="shared" si="36"/>
        <v>0</v>
      </c>
      <c r="N67" s="102">
        <f>IF($H$22&lt;=6,O66,N66)</f>
        <v>0</v>
      </c>
      <c r="O67" s="102">
        <f t="shared" si="33"/>
        <v>0</v>
      </c>
      <c r="Q67" s="103">
        <f t="shared" si="34"/>
        <v>0</v>
      </c>
      <c r="R67" s="104">
        <f t="shared" si="37"/>
        <v>0</v>
      </c>
    </row>
    <row r="68" spans="1:18" ht="15.75" thickBot="1" x14ac:dyDescent="0.25">
      <c r="A68" s="79"/>
      <c r="B68" s="112"/>
      <c r="C68" s="124" t="s">
        <v>218</v>
      </c>
      <c r="E68" s="77"/>
      <c r="L68" s="105">
        <f t="shared" si="35"/>
        <v>2025</v>
      </c>
      <c r="M68" s="106">
        <f t="shared" si="36"/>
        <v>0</v>
      </c>
      <c r="N68" s="106">
        <f>IF($H$22&lt;=7,O67,N67)</f>
        <v>0</v>
      </c>
      <c r="O68" s="106">
        <f t="shared" si="33"/>
        <v>0</v>
      </c>
      <c r="P68" s="45"/>
      <c r="Q68" s="107">
        <f t="shared" si="34"/>
        <v>0</v>
      </c>
      <c r="R68" s="108">
        <f t="shared" si="37"/>
        <v>0</v>
      </c>
    </row>
    <row r="69" spans="1:18" ht="15.75" thickBot="1" x14ac:dyDescent="0.25">
      <c r="A69" s="111" t="s">
        <v>215</v>
      </c>
      <c r="B69" s="112"/>
      <c r="C69" s="125" t="s">
        <v>294</v>
      </c>
      <c r="D69" s="112"/>
      <c r="E69" s="77"/>
    </row>
    <row r="70" spans="1:18" x14ac:dyDescent="0.2">
      <c r="A70" s="115"/>
      <c r="B70" s="112"/>
      <c r="C70" s="122"/>
      <c r="D70" s="78"/>
      <c r="E70" s="77"/>
      <c r="L70" s="74" t="s">
        <v>114</v>
      </c>
      <c r="M70" s="75"/>
      <c r="N70" s="75"/>
      <c r="O70" s="75"/>
      <c r="P70" s="75"/>
      <c r="Q70" s="96"/>
      <c r="R70" s="76"/>
    </row>
    <row r="71" spans="1:18" ht="15.75" x14ac:dyDescent="0.25">
      <c r="A71" s="115">
        <f>L8+1</f>
        <v>2026</v>
      </c>
      <c r="B71" s="112"/>
      <c r="C71" s="78" t="e">
        <f>ROUND(N8+N20+N32+N44+N56+N68,0)</f>
        <v>#REF!</v>
      </c>
      <c r="D71" s="78"/>
      <c r="E71" s="126"/>
      <c r="L71" s="79"/>
      <c r="Q71" s="97" t="s">
        <v>72</v>
      </c>
      <c r="R71" s="98" t="s">
        <v>72</v>
      </c>
    </row>
    <row r="72" spans="1:18" ht="15.75" x14ac:dyDescent="0.25">
      <c r="A72" s="115">
        <f>L9+1</f>
        <v>2027</v>
      </c>
      <c r="B72" s="112"/>
      <c r="C72" s="78" t="e">
        <f>ROUND(N9+N21+N33+N45+N57,0)</f>
        <v>#REF!</v>
      </c>
      <c r="D72" s="78"/>
      <c r="E72" s="77"/>
      <c r="L72" s="99" t="s">
        <v>108</v>
      </c>
      <c r="M72" s="100" t="s">
        <v>104</v>
      </c>
      <c r="N72" s="100" t="s">
        <v>105</v>
      </c>
      <c r="O72" s="100" t="s">
        <v>106</v>
      </c>
      <c r="Q72" s="97" t="s">
        <v>129</v>
      </c>
      <c r="R72" s="98" t="s">
        <v>130</v>
      </c>
    </row>
    <row r="73" spans="1:18" x14ac:dyDescent="0.2">
      <c r="A73" s="115">
        <f>L10+1</f>
        <v>2028</v>
      </c>
      <c r="B73" s="112"/>
      <c r="C73" s="78" t="e">
        <f>ROUND(N10+N22+N34+N46,0)</f>
        <v>#REF!</v>
      </c>
      <c r="D73" s="78"/>
      <c r="E73" s="77"/>
      <c r="L73" s="101">
        <f>L62-1</f>
        <v>2018</v>
      </c>
      <c r="M73" s="102">
        <f>I26</f>
        <v>0</v>
      </c>
      <c r="N73" s="102">
        <f>ROUND(IF(M73=0,0,M73/I22),0)</f>
        <v>0</v>
      </c>
      <c r="O73" s="102">
        <f t="shared" ref="O73:O79" si="38">M73-N73</f>
        <v>0</v>
      </c>
      <c r="Q73" s="103">
        <f t="shared" ref="Q73:Q79" si="39">IF(O73&gt;0,O73,0)</f>
        <v>0</v>
      </c>
      <c r="R73" s="104">
        <f>IF(O73&lt;0,O73,0)</f>
        <v>0</v>
      </c>
    </row>
    <row r="74" spans="1:18" x14ac:dyDescent="0.2">
      <c r="A74" s="115">
        <f>L11+1</f>
        <v>2029</v>
      </c>
      <c r="B74" s="112"/>
      <c r="C74" s="78" t="e">
        <f>ROUND(N11+N23+N35+C80,0)</f>
        <v>#REF!</v>
      </c>
      <c r="D74" s="78"/>
      <c r="E74" s="77"/>
      <c r="L74" s="101">
        <f t="shared" ref="L74:L79" si="40">L73+1</f>
        <v>2019</v>
      </c>
      <c r="M74" s="102">
        <f t="shared" ref="M74:M79" si="41">O73</f>
        <v>0</v>
      </c>
      <c r="N74" s="102">
        <f>IF($I$22&lt;=2,O73,N73)</f>
        <v>0</v>
      </c>
      <c r="O74" s="102">
        <f t="shared" si="38"/>
        <v>0</v>
      </c>
      <c r="Q74" s="103">
        <f t="shared" si="39"/>
        <v>0</v>
      </c>
      <c r="R74" s="104">
        <f t="shared" ref="R74:R79" si="42">IF(O74&lt;0,O74,0)</f>
        <v>0</v>
      </c>
    </row>
    <row r="75" spans="1:18" x14ac:dyDescent="0.2">
      <c r="A75" s="115">
        <f>L12+1</f>
        <v>2030</v>
      </c>
      <c r="B75" s="112"/>
      <c r="C75" s="78" t="e">
        <f>ROUND(N12+N24,0)</f>
        <v>#REF!</v>
      </c>
      <c r="D75" s="78"/>
      <c r="E75" s="77"/>
      <c r="L75" s="101">
        <f t="shared" si="40"/>
        <v>2020</v>
      </c>
      <c r="M75" s="102">
        <f t="shared" si="41"/>
        <v>0</v>
      </c>
      <c r="N75" s="102">
        <f>IF($I$22&lt;=3,O74,N74)</f>
        <v>0</v>
      </c>
      <c r="O75" s="102">
        <f t="shared" si="38"/>
        <v>0</v>
      </c>
      <c r="Q75" s="103">
        <f t="shared" si="39"/>
        <v>0</v>
      </c>
      <c r="R75" s="104">
        <f t="shared" si="42"/>
        <v>0</v>
      </c>
    </row>
    <row r="76" spans="1:18" x14ac:dyDescent="0.2">
      <c r="A76" s="115" t="s">
        <v>77</v>
      </c>
      <c r="C76" s="102" t="e">
        <f>N13</f>
        <v>#REF!</v>
      </c>
      <c r="D76" s="102"/>
      <c r="E76" s="77"/>
      <c r="L76" s="101">
        <f t="shared" si="40"/>
        <v>2021</v>
      </c>
      <c r="M76" s="102">
        <f t="shared" si="41"/>
        <v>0</v>
      </c>
      <c r="N76" s="102">
        <f>IF($I$22&lt;=4,O75,N75)</f>
        <v>0</v>
      </c>
      <c r="O76" s="102">
        <f t="shared" si="38"/>
        <v>0</v>
      </c>
      <c r="Q76" s="103">
        <f t="shared" si="39"/>
        <v>0</v>
      </c>
      <c r="R76" s="104">
        <f t="shared" si="42"/>
        <v>0</v>
      </c>
    </row>
    <row r="77" spans="1:18" ht="15.75" customHeight="1" thickBot="1" x14ac:dyDescent="0.25">
      <c r="A77" s="117"/>
      <c r="B77" s="112"/>
      <c r="C77" s="118" t="e">
        <f>SUM(C71:C76)</f>
        <v>#REF!</v>
      </c>
      <c r="D77" s="102"/>
      <c r="E77" s="77"/>
      <c r="L77" s="101">
        <f t="shared" si="40"/>
        <v>2022</v>
      </c>
      <c r="M77" s="102">
        <f t="shared" si="41"/>
        <v>0</v>
      </c>
      <c r="N77" s="102">
        <f>IF($I$22&lt;=5,O76,N76)</f>
        <v>0</v>
      </c>
      <c r="O77" s="102">
        <f t="shared" si="38"/>
        <v>0</v>
      </c>
      <c r="Q77" s="103">
        <f t="shared" si="39"/>
        <v>0</v>
      </c>
      <c r="R77" s="104">
        <f t="shared" si="42"/>
        <v>0</v>
      </c>
    </row>
    <row r="78" spans="1:18" ht="15.75" thickTop="1" x14ac:dyDescent="0.2">
      <c r="A78" s="117"/>
      <c r="C78" s="102"/>
      <c r="D78" s="102"/>
      <c r="E78" s="77"/>
      <c r="L78" s="101">
        <f t="shared" si="40"/>
        <v>2023</v>
      </c>
      <c r="M78" s="102">
        <f t="shared" si="41"/>
        <v>0</v>
      </c>
      <c r="N78" s="102">
        <f>IF($I$22&lt;=6,O77,N77)</f>
        <v>0</v>
      </c>
      <c r="O78" s="102">
        <f t="shared" si="38"/>
        <v>0</v>
      </c>
      <c r="Q78" s="103">
        <f t="shared" si="39"/>
        <v>0</v>
      </c>
      <c r="R78" s="104">
        <f t="shared" si="42"/>
        <v>0</v>
      </c>
    </row>
    <row r="79" spans="1:18" ht="15.75" thickBot="1" x14ac:dyDescent="0.25">
      <c r="A79" s="115" t="s">
        <v>67</v>
      </c>
      <c r="C79" s="102" t="e">
        <f>E54-C77</f>
        <v>#REF!</v>
      </c>
      <c r="E79" s="77"/>
      <c r="L79" s="105">
        <f t="shared" si="40"/>
        <v>2024</v>
      </c>
      <c r="M79" s="106">
        <f t="shared" si="41"/>
        <v>0</v>
      </c>
      <c r="N79" s="106">
        <f>IF($I$22&lt;=7,O78,N78)</f>
        <v>0</v>
      </c>
      <c r="O79" s="106">
        <f t="shared" si="38"/>
        <v>0</v>
      </c>
      <c r="P79" s="45"/>
      <c r="Q79" s="107">
        <f t="shared" si="39"/>
        <v>0</v>
      </c>
      <c r="R79" s="108">
        <f t="shared" si="42"/>
        <v>0</v>
      </c>
    </row>
    <row r="80" spans="1:18" ht="15.75" thickBot="1" x14ac:dyDescent="0.25">
      <c r="A80" s="120" t="s">
        <v>179</v>
      </c>
      <c r="B80" s="45"/>
      <c r="C80" s="95">
        <v>0</v>
      </c>
      <c r="D80" s="106"/>
      <c r="E80" s="121"/>
    </row>
    <row r="94" ht="15" customHeight="1" x14ac:dyDescent="0.2"/>
  </sheetData>
  <mergeCells count="7">
    <mergeCell ref="T2:AB2"/>
    <mergeCell ref="C45:C46"/>
    <mergeCell ref="D45:D46"/>
    <mergeCell ref="C13:I13"/>
    <mergeCell ref="L2:R2"/>
    <mergeCell ref="E45:E46"/>
    <mergeCell ref="C6:I11"/>
  </mergeCells>
  <pageMargins left="0.7" right="0.7" top="0.75" bottom="0.75" header="0.3" footer="0.3"/>
  <pageSetup orientation="portrait" horizontalDpi="4294967295" verticalDpi="4294967295" r:id="rId1"/>
  <cellWatches>
    <cellWatch r="C79"/>
  </cellWatche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3:AD98"/>
  <sheetViews>
    <sheetView zoomScale="85" zoomScaleNormal="85" workbookViewId="0">
      <selection activeCell="K5" sqref="K5"/>
    </sheetView>
  </sheetViews>
  <sheetFormatPr defaultColWidth="8.88671875" defaultRowHeight="15" x14ac:dyDescent="0.2"/>
  <cols>
    <col min="1" max="1" width="57.5546875" customWidth="1"/>
    <col min="2" max="2" width="1" customWidth="1"/>
    <col min="3" max="3" width="13.77734375" customWidth="1"/>
    <col min="4" max="4" width="12.88671875" customWidth="1"/>
    <col min="5" max="5" width="13.21875" customWidth="1"/>
    <col min="6" max="6" width="14.109375" customWidth="1"/>
    <col min="7" max="7" width="12.44140625" bestFit="1" customWidth="1"/>
    <col min="8" max="9" width="12.77734375" bestFit="1" customWidth="1"/>
    <col min="10" max="11" width="12.77734375" customWidth="1"/>
    <col min="12" max="12" width="1.21875" customWidth="1"/>
    <col min="13" max="13" width="1.44140625" customWidth="1"/>
    <col min="14" max="14" width="10.77734375" customWidth="1"/>
    <col min="15" max="15" width="12.21875" bestFit="1" customWidth="1"/>
    <col min="16" max="16" width="10.6640625" bestFit="1" customWidth="1"/>
    <col min="17" max="17" width="9.5546875" bestFit="1" customWidth="1"/>
    <col min="18" max="18" width="1.21875" customWidth="1"/>
    <col min="20" max="20" width="9.5546875" bestFit="1" customWidth="1"/>
    <col min="23" max="23" width="12.33203125" bestFit="1" customWidth="1"/>
    <col min="24" max="24" width="10.5546875" bestFit="1" customWidth="1"/>
    <col min="29" max="29" width="15.21875" customWidth="1"/>
    <col min="30" max="30" width="19.33203125" customWidth="1"/>
  </cols>
  <sheetData>
    <row r="3" spans="1:30" ht="18" x14ac:dyDescent="0.25">
      <c r="A3" s="22" t="s">
        <v>126</v>
      </c>
      <c r="C3" s="21" t="s">
        <v>16</v>
      </c>
    </row>
    <row r="4" spans="1:30" ht="18" x14ac:dyDescent="0.25">
      <c r="C4" s="21" t="str">
        <f>'Change in Proportion - LEAs'!C3</f>
        <v>Password for protected sheet: BOE2025</v>
      </c>
    </row>
    <row r="5" spans="1:30" ht="15.75" thickBot="1" x14ac:dyDescent="0.25"/>
    <row r="6" spans="1:30" ht="16.5" thickBot="1" x14ac:dyDescent="0.3">
      <c r="A6" s="209" t="s">
        <v>103</v>
      </c>
      <c r="C6" s="210">
        <f>'Change in Proportion - LEAs'!C7</f>
        <v>2025</v>
      </c>
      <c r="N6" s="631" t="s">
        <v>190</v>
      </c>
      <c r="O6" s="632"/>
      <c r="P6" s="632"/>
      <c r="Q6" s="632"/>
      <c r="R6" s="632"/>
      <c r="S6" s="632"/>
      <c r="T6" s="633"/>
    </row>
    <row r="7" spans="1:30" ht="15.75" thickBot="1" x14ac:dyDescent="0.25">
      <c r="A7" s="23"/>
    </row>
    <row r="8" spans="1:30" x14ac:dyDescent="0.2">
      <c r="C8" s="621" t="s">
        <v>675</v>
      </c>
      <c r="D8" s="621"/>
      <c r="E8" s="621"/>
      <c r="F8" s="621"/>
      <c r="G8" s="621"/>
      <c r="H8" s="621"/>
      <c r="I8" s="621"/>
      <c r="J8" s="445"/>
      <c r="K8" s="445"/>
      <c r="N8" s="74" t="s">
        <v>107</v>
      </c>
      <c r="O8" s="75"/>
      <c r="P8" s="75"/>
      <c r="Q8" s="75"/>
      <c r="R8" s="75"/>
      <c r="S8" s="96"/>
      <c r="T8" s="76"/>
      <c r="V8" s="23"/>
    </row>
    <row r="9" spans="1:30" ht="15.75" x14ac:dyDescent="0.25">
      <c r="C9" s="621"/>
      <c r="D9" s="621"/>
      <c r="E9" s="621"/>
      <c r="F9" s="621"/>
      <c r="G9" s="621"/>
      <c r="H9" s="621"/>
      <c r="I9" s="621"/>
      <c r="J9" s="445"/>
      <c r="K9" s="445"/>
      <c r="N9" s="79"/>
      <c r="S9" s="97" t="s">
        <v>72</v>
      </c>
      <c r="T9" s="98" t="s">
        <v>72</v>
      </c>
      <c r="AA9" s="29"/>
      <c r="AB9" s="29"/>
    </row>
    <row r="10" spans="1:30" ht="15.75" x14ac:dyDescent="0.25">
      <c r="C10" s="621"/>
      <c r="D10" s="621"/>
      <c r="E10" s="621"/>
      <c r="F10" s="621"/>
      <c r="G10" s="621"/>
      <c r="H10" s="621"/>
      <c r="I10" s="621"/>
      <c r="J10" s="445"/>
      <c r="K10" s="445"/>
      <c r="N10" s="99" t="s">
        <v>108</v>
      </c>
      <c r="O10" s="100" t="s">
        <v>104</v>
      </c>
      <c r="P10" s="100" t="s">
        <v>105</v>
      </c>
      <c r="Q10" s="100" t="s">
        <v>106</v>
      </c>
      <c r="S10" s="97" t="s">
        <v>129</v>
      </c>
      <c r="T10" s="98" t="s">
        <v>130</v>
      </c>
      <c r="V10" s="100"/>
      <c r="W10" s="100"/>
      <c r="X10" s="100"/>
      <c r="Y10" s="100"/>
      <c r="AA10" s="29"/>
      <c r="AB10" s="29"/>
      <c r="AC10" s="408"/>
      <c r="AD10" s="408"/>
    </row>
    <row r="11" spans="1:30" x14ac:dyDescent="0.2">
      <c r="C11" s="621"/>
      <c r="D11" s="621"/>
      <c r="E11" s="621"/>
      <c r="F11" s="621"/>
      <c r="G11" s="621"/>
      <c r="H11" s="621"/>
      <c r="I11" s="621"/>
      <c r="J11" s="445"/>
      <c r="K11" s="445"/>
      <c r="N11" s="101">
        <f>C6-1</f>
        <v>2024</v>
      </c>
      <c r="O11" s="102">
        <f>C30</f>
        <v>0</v>
      </c>
      <c r="P11" s="102">
        <f>ROUND(IF(O11=0,0,O11/$C$25),0)</f>
        <v>0</v>
      </c>
      <c r="Q11" s="102">
        <f t="shared" ref="Q11:Q17" si="0">O11-P11</f>
        <v>0</v>
      </c>
      <c r="S11" s="103">
        <f t="shared" ref="S11:S17" si="1">IF(Q11&gt;0,Q11,0)</f>
        <v>0</v>
      </c>
      <c r="T11" s="104">
        <f>IF(Q11&lt;0,Q11,0)</f>
        <v>0</v>
      </c>
      <c r="V11" s="409"/>
      <c r="W11" s="102"/>
      <c r="X11" s="102"/>
      <c r="Y11" s="102"/>
      <c r="AA11" s="102"/>
      <c r="AB11" s="102"/>
      <c r="AC11" s="26"/>
      <c r="AD11" s="26"/>
    </row>
    <row r="12" spans="1:30" x14ac:dyDescent="0.2">
      <c r="C12" s="621"/>
      <c r="D12" s="621"/>
      <c r="E12" s="621"/>
      <c r="F12" s="621"/>
      <c r="G12" s="621"/>
      <c r="H12" s="621"/>
      <c r="I12" s="621"/>
      <c r="J12" s="445"/>
      <c r="K12" s="445"/>
      <c r="N12" s="101">
        <f t="shared" ref="N12:N17" si="2">N11+1</f>
        <v>2025</v>
      </c>
      <c r="O12" s="102">
        <f t="shared" ref="O12:O17" si="3">Q11</f>
        <v>0</v>
      </c>
      <c r="P12" s="102">
        <f>IF($C$25&lt;=2,Q11,P11)</f>
        <v>0</v>
      </c>
      <c r="Q12" s="102">
        <f t="shared" si="0"/>
        <v>0</v>
      </c>
      <c r="S12" s="103">
        <f t="shared" si="1"/>
        <v>0</v>
      </c>
      <c r="T12" s="104">
        <f t="shared" ref="T12:T17" si="4">IF(Q12&lt;0,Q12,0)</f>
        <v>0</v>
      </c>
      <c r="V12" s="409"/>
      <c r="W12" s="102"/>
      <c r="X12" s="102"/>
      <c r="Y12" s="102"/>
      <c r="AA12" s="102"/>
      <c r="AB12" s="102"/>
    </row>
    <row r="13" spans="1:30" ht="16.5" customHeight="1" x14ac:dyDescent="0.2">
      <c r="C13" s="621"/>
      <c r="D13" s="621"/>
      <c r="E13" s="621"/>
      <c r="F13" s="621"/>
      <c r="G13" s="621"/>
      <c r="H13" s="621"/>
      <c r="I13" s="621"/>
      <c r="J13" s="445"/>
      <c r="K13" s="445"/>
      <c r="N13" s="101">
        <f t="shared" si="2"/>
        <v>2026</v>
      </c>
      <c r="O13" s="102">
        <f t="shared" si="3"/>
        <v>0</v>
      </c>
      <c r="P13" s="102">
        <f>IF($C$25&lt;=3,Q12,P12)</f>
        <v>0</v>
      </c>
      <c r="Q13" s="102">
        <f t="shared" si="0"/>
        <v>0</v>
      </c>
      <c r="S13" s="103">
        <f t="shared" si="1"/>
        <v>0</v>
      </c>
      <c r="T13" s="104">
        <f t="shared" si="4"/>
        <v>0</v>
      </c>
      <c r="V13" s="409"/>
      <c r="W13" s="102"/>
      <c r="X13" s="102"/>
      <c r="Y13" s="102"/>
      <c r="AA13" s="102"/>
      <c r="AB13" s="102"/>
    </row>
    <row r="14" spans="1:30" ht="15.75" thickBot="1" x14ac:dyDescent="0.25">
      <c r="N14" s="101">
        <f t="shared" si="2"/>
        <v>2027</v>
      </c>
      <c r="O14" s="102">
        <f t="shared" si="3"/>
        <v>0</v>
      </c>
      <c r="P14" s="102">
        <f>IF($C$25&lt;=4,Q13,P13)</f>
        <v>0</v>
      </c>
      <c r="Q14" s="102">
        <f t="shared" si="0"/>
        <v>0</v>
      </c>
      <c r="S14" s="103">
        <f t="shared" si="1"/>
        <v>0</v>
      </c>
      <c r="T14" s="104">
        <f t="shared" si="4"/>
        <v>0</v>
      </c>
      <c r="V14" s="409"/>
      <c r="W14" s="102"/>
      <c r="X14" s="102"/>
      <c r="Y14" s="102"/>
      <c r="AA14" s="102"/>
      <c r="AB14" s="102"/>
    </row>
    <row r="15" spans="1:30" ht="15.75" customHeight="1" thickBot="1" x14ac:dyDescent="0.3">
      <c r="A15" s="74"/>
      <c r="B15" s="75"/>
      <c r="C15" s="636" t="s">
        <v>94</v>
      </c>
      <c r="D15" s="637"/>
      <c r="E15" s="637"/>
      <c r="F15" s="637"/>
      <c r="G15" s="637"/>
      <c r="H15" s="637"/>
      <c r="I15" s="637"/>
      <c r="J15" s="637"/>
      <c r="K15" s="638"/>
      <c r="N15" s="101">
        <f t="shared" si="2"/>
        <v>2028</v>
      </c>
      <c r="O15" s="102">
        <f t="shared" si="3"/>
        <v>0</v>
      </c>
      <c r="P15" s="102">
        <f>IF($C$25&lt;=5,Q14,P14)</f>
        <v>0</v>
      </c>
      <c r="Q15" s="102">
        <f t="shared" si="0"/>
        <v>0</v>
      </c>
      <c r="S15" s="103">
        <f t="shared" si="1"/>
        <v>0</v>
      </c>
      <c r="T15" s="104">
        <f t="shared" si="4"/>
        <v>0</v>
      </c>
      <c r="V15" s="409"/>
      <c r="W15" s="102"/>
      <c r="X15" s="102"/>
      <c r="Y15" s="102"/>
      <c r="AA15" s="102"/>
      <c r="AB15" s="102"/>
    </row>
    <row r="16" spans="1:30" ht="15.75" x14ac:dyDescent="0.25">
      <c r="A16" s="79"/>
      <c r="C16" s="214">
        <f>C6-1</f>
        <v>2024</v>
      </c>
      <c r="D16" s="214">
        <f>C16-1</f>
        <v>2023</v>
      </c>
      <c r="E16" s="214">
        <f>C16-2</f>
        <v>2022</v>
      </c>
      <c r="F16" s="214">
        <f>C16-3</f>
        <v>2021</v>
      </c>
      <c r="G16" s="214">
        <f>C16-4</f>
        <v>2020</v>
      </c>
      <c r="H16" s="214">
        <f>C16-5</f>
        <v>2019</v>
      </c>
      <c r="I16" s="214">
        <f>C16-6</f>
        <v>2018</v>
      </c>
      <c r="J16" s="214">
        <f>C16-7</f>
        <v>2017</v>
      </c>
      <c r="K16" s="214">
        <f>C16-8</f>
        <v>2016</v>
      </c>
      <c r="N16" s="101">
        <f t="shared" si="2"/>
        <v>2029</v>
      </c>
      <c r="O16" s="102">
        <f t="shared" si="3"/>
        <v>0</v>
      </c>
      <c r="P16" s="102">
        <f>IF($C$25&lt;=6,Q15,P15)</f>
        <v>0</v>
      </c>
      <c r="Q16" s="102">
        <f t="shared" si="0"/>
        <v>0</v>
      </c>
      <c r="S16" s="103">
        <f t="shared" si="1"/>
        <v>0</v>
      </c>
      <c r="T16" s="104">
        <f t="shared" si="4"/>
        <v>0</v>
      </c>
      <c r="V16" s="409"/>
      <c r="W16" s="102"/>
      <c r="X16" s="102"/>
      <c r="Y16" s="102"/>
      <c r="AA16" s="102"/>
      <c r="AB16" s="102"/>
    </row>
    <row r="17" spans="1:28" ht="15.75" thickBot="1" x14ac:dyDescent="0.25">
      <c r="A17" s="79"/>
      <c r="C17" s="537" t="s">
        <v>95</v>
      </c>
      <c r="D17" s="537" t="s">
        <v>96</v>
      </c>
      <c r="E17" s="537" t="s">
        <v>97</v>
      </c>
      <c r="F17" s="537" t="s">
        <v>98</v>
      </c>
      <c r="G17" s="537" t="s">
        <v>99</v>
      </c>
      <c r="H17" s="537" t="s">
        <v>100</v>
      </c>
      <c r="I17" s="537" t="s">
        <v>101</v>
      </c>
      <c r="J17" s="537" t="s">
        <v>577</v>
      </c>
      <c r="K17" s="537" t="s">
        <v>673</v>
      </c>
      <c r="N17" s="105">
        <f t="shared" si="2"/>
        <v>2030</v>
      </c>
      <c r="O17" s="106">
        <f t="shared" si="3"/>
        <v>0</v>
      </c>
      <c r="P17" s="106">
        <f>IF($C$25&lt;=7,Q16,P16)</f>
        <v>0</v>
      </c>
      <c r="Q17" s="106">
        <f t="shared" si="0"/>
        <v>0</v>
      </c>
      <c r="R17" s="45"/>
      <c r="S17" s="107">
        <f t="shared" si="1"/>
        <v>0</v>
      </c>
      <c r="T17" s="108">
        <f t="shared" si="4"/>
        <v>0</v>
      </c>
      <c r="V17" s="409"/>
      <c r="W17" s="102"/>
      <c r="X17" s="102"/>
      <c r="Y17" s="102"/>
      <c r="AA17" s="102"/>
      <c r="AB17" s="102"/>
    </row>
    <row r="18" spans="1:28" ht="15.75" thickBot="1" x14ac:dyDescent="0.25">
      <c r="A18" s="213"/>
      <c r="C18" s="216"/>
      <c r="D18" s="217"/>
      <c r="E18" s="75"/>
      <c r="F18" s="75"/>
      <c r="G18" s="75"/>
      <c r="H18" s="75"/>
      <c r="I18" s="75"/>
      <c r="J18" s="75"/>
      <c r="K18" s="76"/>
    </row>
    <row r="19" spans="1:28" ht="15.6" customHeight="1" x14ac:dyDescent="0.2">
      <c r="A19" s="211" t="s">
        <v>127</v>
      </c>
      <c r="C19" s="225">
        <f>'Net LEA Amounts'!G13</f>
        <v>0</v>
      </c>
      <c r="D19" s="226">
        <f>'Net LEA Amounts'!G55</f>
        <v>0</v>
      </c>
      <c r="E19" s="360">
        <v>0</v>
      </c>
      <c r="F19" s="360">
        <v>0</v>
      </c>
      <c r="G19" s="360">
        <v>0</v>
      </c>
      <c r="H19" s="360">
        <v>0</v>
      </c>
      <c r="I19" s="360">
        <v>0</v>
      </c>
      <c r="J19" s="360">
        <v>0</v>
      </c>
      <c r="K19" s="422">
        <v>0</v>
      </c>
      <c r="N19" s="74" t="s">
        <v>109</v>
      </c>
      <c r="O19" s="75"/>
      <c r="P19" s="75"/>
      <c r="Q19" s="75"/>
      <c r="R19" s="75"/>
      <c r="S19" s="96"/>
      <c r="T19" s="76"/>
    </row>
    <row r="20" spans="1:28" ht="15.75" x14ac:dyDescent="0.25">
      <c r="A20" s="211" t="s">
        <v>236</v>
      </c>
      <c r="C20" s="103">
        <f>'GASB 75 Sch Input CY'!B39</f>
        <v>39551500</v>
      </c>
      <c r="D20" s="102">
        <f>'GASB 75 Sch Input PY '!B39</f>
        <v>100285314</v>
      </c>
      <c r="E20" s="102">
        <v>117575569</v>
      </c>
      <c r="F20" s="102">
        <v>182358271</v>
      </c>
      <c r="G20" s="102">
        <v>193288178</v>
      </c>
      <c r="H20" s="102">
        <v>206028203</v>
      </c>
      <c r="I20" s="102">
        <v>204349400</v>
      </c>
      <c r="J20" s="102">
        <v>205398348</v>
      </c>
      <c r="K20" s="104">
        <v>171066452</v>
      </c>
      <c r="N20" s="79"/>
      <c r="S20" s="97" t="s">
        <v>72</v>
      </c>
      <c r="T20" s="98" t="s">
        <v>72</v>
      </c>
    </row>
    <row r="21" spans="1:28" ht="15.75" x14ac:dyDescent="0.25">
      <c r="A21" s="211" t="s">
        <v>327</v>
      </c>
      <c r="C21" s="103">
        <f>'GASB 75 Sch Input CY'!B21</f>
        <v>-41636097</v>
      </c>
      <c r="D21" s="102">
        <f>'GASB 75 Sch Input PY '!B21</f>
        <v>-158249117</v>
      </c>
      <c r="E21" s="102">
        <v>111298764</v>
      </c>
      <c r="F21" s="102">
        <v>-29734708</v>
      </c>
      <c r="G21" s="102">
        <v>441691746</v>
      </c>
      <c r="H21" s="102">
        <v>1659132325</v>
      </c>
      <c r="I21" s="102">
        <v>2145435896</v>
      </c>
      <c r="J21" s="102">
        <v>2458989093</v>
      </c>
      <c r="K21" s="104">
        <v>2483325251</v>
      </c>
      <c r="N21" s="99" t="s">
        <v>108</v>
      </c>
      <c r="O21" s="100" t="s">
        <v>104</v>
      </c>
      <c r="P21" s="100" t="s">
        <v>105</v>
      </c>
      <c r="Q21" s="100" t="s">
        <v>106</v>
      </c>
      <c r="S21" s="97" t="s">
        <v>129</v>
      </c>
      <c r="T21" s="98" t="s">
        <v>130</v>
      </c>
    </row>
    <row r="22" spans="1:28" ht="15.75" x14ac:dyDescent="0.25">
      <c r="A22" s="211" t="s">
        <v>237</v>
      </c>
      <c r="C22" s="103">
        <f>-'GASB 75 Sch Input CY'!L21</f>
        <v>-202009399</v>
      </c>
      <c r="D22" s="102">
        <f>-'GASB 75 Sch Input PY '!L21</f>
        <v>-129129854</v>
      </c>
      <c r="E22" s="102">
        <v>-225802245</v>
      </c>
      <c r="F22" s="102">
        <v>-140254176</v>
      </c>
      <c r="G22" s="102">
        <v>-276128003</v>
      </c>
      <c r="H22" s="102">
        <v>-351941932</v>
      </c>
      <c r="I22" s="102">
        <v>-385316441</v>
      </c>
      <c r="J22" s="102">
        <v>-340524610</v>
      </c>
      <c r="K22" s="104">
        <v>0</v>
      </c>
      <c r="N22" s="101">
        <f>N11-1</f>
        <v>2023</v>
      </c>
      <c r="O22" s="102">
        <f>D30</f>
        <v>0</v>
      </c>
      <c r="P22" s="102">
        <f>ROUND(IF(O22=0,0,O22/D25),0)</f>
        <v>0</v>
      </c>
      <c r="Q22" s="102">
        <f t="shared" ref="Q22:Q28" si="5">O22-P22</f>
        <v>0</v>
      </c>
      <c r="S22" s="103">
        <f t="shared" ref="S22:S28" si="6">IF(Q22&gt;0,Q22,0)</f>
        <v>0</v>
      </c>
      <c r="T22" s="104">
        <f>IF(Q22&lt;0,Q22,0)</f>
        <v>0</v>
      </c>
    </row>
    <row r="23" spans="1:28" ht="15.75" x14ac:dyDescent="0.25">
      <c r="A23" s="211" t="s">
        <v>239</v>
      </c>
      <c r="C23" s="103">
        <f>'GASB 75 Sch Input CY'!X21</f>
        <v>179625375</v>
      </c>
      <c r="D23" s="102">
        <f>'GASB 75 Sch Input PY '!X21</f>
        <v>268541180</v>
      </c>
      <c r="E23" s="102">
        <v>561924601</v>
      </c>
      <c r="F23" s="102">
        <v>1179489814</v>
      </c>
      <c r="G23" s="102">
        <v>1525976058</v>
      </c>
      <c r="H23" s="102">
        <v>899827168</v>
      </c>
      <c r="I23" s="102">
        <v>670981914</v>
      </c>
      <c r="J23" s="102">
        <v>388005675</v>
      </c>
      <c r="K23" s="104">
        <v>0</v>
      </c>
      <c r="N23" s="101">
        <f t="shared" ref="N23:N28" si="7">N22+1</f>
        <v>2024</v>
      </c>
      <c r="O23" s="102">
        <f t="shared" ref="O23:O28" si="8">Q22</f>
        <v>0</v>
      </c>
      <c r="P23" s="102">
        <f>IF($D$25&lt;=2,Q22,P22)</f>
        <v>0</v>
      </c>
      <c r="Q23" s="102">
        <f t="shared" si="5"/>
        <v>0</v>
      </c>
      <c r="S23" s="103">
        <f t="shared" si="6"/>
        <v>0</v>
      </c>
      <c r="T23" s="104">
        <f t="shared" ref="T23:T28" si="9">IF(Q23&lt;0,Q23,0)</f>
        <v>0</v>
      </c>
    </row>
    <row r="24" spans="1:28" ht="15.75" x14ac:dyDescent="0.25">
      <c r="A24" s="441" t="s">
        <v>560</v>
      </c>
      <c r="C24" s="103">
        <f>'Change in Proportion - LEAs'!C25</f>
        <v>0</v>
      </c>
      <c r="D24" s="102">
        <v>0</v>
      </c>
      <c r="E24" s="102">
        <v>0</v>
      </c>
      <c r="F24" s="102">
        <v>-2647890</v>
      </c>
      <c r="G24" s="102">
        <v>0</v>
      </c>
      <c r="H24" s="102">
        <v>0</v>
      </c>
      <c r="I24" s="102">
        <v>0</v>
      </c>
      <c r="J24" s="102">
        <v>0</v>
      </c>
      <c r="K24" s="104">
        <v>0</v>
      </c>
      <c r="N24" s="101">
        <f t="shared" si="7"/>
        <v>2025</v>
      </c>
      <c r="O24" s="102">
        <f t="shared" si="8"/>
        <v>0</v>
      </c>
      <c r="P24" s="102">
        <f>IF($D$25&lt;=3,Q23,P23)</f>
        <v>0</v>
      </c>
      <c r="Q24" s="102">
        <f t="shared" si="5"/>
        <v>0</v>
      </c>
      <c r="S24" s="103">
        <f t="shared" si="6"/>
        <v>0</v>
      </c>
      <c r="T24" s="104">
        <f t="shared" si="9"/>
        <v>0</v>
      </c>
    </row>
    <row r="25" spans="1:28" x14ac:dyDescent="0.2">
      <c r="A25" s="202" t="s">
        <v>102</v>
      </c>
      <c r="C25" s="218">
        <f>'Change in Proportion - LEAs'!C26</f>
        <v>3.4498000000000002</v>
      </c>
      <c r="D25" s="291">
        <f>'Change in Proportion - LEAs'!D26</f>
        <v>3.6282999999999999</v>
      </c>
      <c r="E25" s="291">
        <v>3.573</v>
      </c>
      <c r="F25" s="291">
        <v>3.7949999999999999</v>
      </c>
      <c r="G25" s="291">
        <v>4.0481999999999996</v>
      </c>
      <c r="H25" s="291">
        <v>4.3013000000000003</v>
      </c>
      <c r="I25" s="546">
        <v>4.6369999999999996</v>
      </c>
      <c r="J25" s="546">
        <v>4.7140000000000004</v>
      </c>
      <c r="K25" s="116">
        <v>0</v>
      </c>
      <c r="N25" s="101">
        <f t="shared" si="7"/>
        <v>2026</v>
      </c>
      <c r="O25" s="102">
        <f t="shared" si="8"/>
        <v>0</v>
      </c>
      <c r="P25" s="102">
        <f>IF($D$25&lt;=4,Q24,P24)</f>
        <v>0</v>
      </c>
      <c r="Q25" s="102">
        <f t="shared" si="5"/>
        <v>0</v>
      </c>
      <c r="S25" s="103">
        <f t="shared" si="6"/>
        <v>0</v>
      </c>
      <c r="T25" s="104">
        <f t="shared" si="9"/>
        <v>0</v>
      </c>
    </row>
    <row r="26" spans="1:28" x14ac:dyDescent="0.2">
      <c r="A26" s="202" t="s">
        <v>187</v>
      </c>
      <c r="C26" s="103">
        <f>ROUND((C19-D19)*D22,8)</f>
        <v>0</v>
      </c>
      <c r="D26" s="220">
        <f>ROUND((D19-E19)*E22,8)</f>
        <v>0</v>
      </c>
      <c r="E26" s="220">
        <f>ROUND((E19-F19)*F22,8)</f>
        <v>0</v>
      </c>
      <c r="F26" s="220">
        <f>ROUND((F19-G19)*G22,8)</f>
        <v>0</v>
      </c>
      <c r="G26" s="220">
        <f>ROUND((G19-H19)*H22,8)</f>
        <v>0</v>
      </c>
      <c r="H26" s="220">
        <f t="shared" ref="H26:J26" si="10">ROUND((H19-I19)*I22,8)</f>
        <v>0</v>
      </c>
      <c r="I26" s="220">
        <f t="shared" si="10"/>
        <v>0</v>
      </c>
      <c r="J26" s="220">
        <f t="shared" si="10"/>
        <v>0</v>
      </c>
      <c r="K26" s="104">
        <v>0</v>
      </c>
      <c r="N26" s="101">
        <f t="shared" si="7"/>
        <v>2027</v>
      </c>
      <c r="O26" s="102">
        <f t="shared" si="8"/>
        <v>0</v>
      </c>
      <c r="P26" s="102">
        <f>IF($D$25&lt;=5,Q25,P25)</f>
        <v>0</v>
      </c>
      <c r="Q26" s="102">
        <f t="shared" si="5"/>
        <v>0</v>
      </c>
      <c r="S26" s="103">
        <f t="shared" si="6"/>
        <v>0</v>
      </c>
      <c r="T26" s="104">
        <f t="shared" si="9"/>
        <v>0</v>
      </c>
    </row>
    <row r="27" spans="1:28" x14ac:dyDescent="0.2">
      <c r="A27" s="202" t="s">
        <v>188</v>
      </c>
      <c r="C27" s="103">
        <f>ROUND((C19-D19)*D23,8)</f>
        <v>0</v>
      </c>
      <c r="D27" s="220">
        <f>ROUND((D19-E19)*E23,8)</f>
        <v>0</v>
      </c>
      <c r="E27" s="220">
        <f>ROUND((E19-F19)*F23,8)</f>
        <v>0</v>
      </c>
      <c r="F27" s="220">
        <f>ROUND((F19-G19)*G23,8)</f>
        <v>0</v>
      </c>
      <c r="G27" s="220">
        <f>ROUND((G19-H19)*H23,8)</f>
        <v>0</v>
      </c>
      <c r="H27" s="220">
        <f t="shared" ref="H27:J27" si="11">ROUND((H19-I19)*I23,8)</f>
        <v>0</v>
      </c>
      <c r="I27" s="220">
        <f t="shared" si="11"/>
        <v>0</v>
      </c>
      <c r="J27" s="220">
        <f t="shared" si="11"/>
        <v>0</v>
      </c>
      <c r="K27" s="104">
        <v>0</v>
      </c>
      <c r="N27" s="101">
        <f>N26+1</f>
        <v>2028</v>
      </c>
      <c r="O27" s="102">
        <f>Q26</f>
        <v>0</v>
      </c>
      <c r="P27" s="102">
        <f>IF($D$25&lt;=6,Q26,P26)</f>
        <v>0</v>
      </c>
      <c r="Q27" s="102">
        <f t="shared" si="5"/>
        <v>0</v>
      </c>
      <c r="S27" s="103">
        <f t="shared" si="6"/>
        <v>0</v>
      </c>
      <c r="T27" s="104">
        <f t="shared" si="9"/>
        <v>0</v>
      </c>
    </row>
    <row r="28" spans="1:28" ht="15.75" customHeight="1" thickBot="1" x14ac:dyDescent="0.25">
      <c r="A28" s="212" t="s">
        <v>337</v>
      </c>
      <c r="C28" s="103">
        <f t="shared" ref="C28:G28" si="12">ROUND((C19-D19)*D21,8)</f>
        <v>0</v>
      </c>
      <c r="D28" s="102">
        <f t="shared" si="12"/>
        <v>0</v>
      </c>
      <c r="E28" s="102">
        <f t="shared" si="12"/>
        <v>0</v>
      </c>
      <c r="F28" s="102">
        <f t="shared" si="12"/>
        <v>0</v>
      </c>
      <c r="G28" s="102">
        <f t="shared" si="12"/>
        <v>0</v>
      </c>
      <c r="H28" s="102">
        <f t="shared" ref="H28" si="13">ROUND((H19-I19)*I21,8)</f>
        <v>0</v>
      </c>
      <c r="I28" s="102">
        <f t="shared" ref="I28:J28" si="14">ROUND((I19-J19)*J21,8)</f>
        <v>0</v>
      </c>
      <c r="J28" s="102">
        <f t="shared" si="14"/>
        <v>0</v>
      </c>
      <c r="K28" s="104">
        <v>0</v>
      </c>
      <c r="N28" s="105">
        <f t="shared" si="7"/>
        <v>2029</v>
      </c>
      <c r="O28" s="106">
        <f t="shared" si="8"/>
        <v>0</v>
      </c>
      <c r="P28" s="106">
        <f>IF($D$25&lt;=7,Q27,P27)</f>
        <v>0</v>
      </c>
      <c r="Q28" s="106">
        <f t="shared" si="5"/>
        <v>0</v>
      </c>
      <c r="R28" s="45"/>
      <c r="S28" s="107">
        <f t="shared" si="6"/>
        <v>0</v>
      </c>
      <c r="T28" s="108">
        <f t="shared" si="9"/>
        <v>0</v>
      </c>
    </row>
    <row r="29" spans="1:28" ht="15.75" customHeight="1" thickBot="1" x14ac:dyDescent="0.25">
      <c r="A29" s="212" t="str">
        <f>'Change in Proportion - LEAs'!A30</f>
        <v>Deferred Outflow/(Inflow) due to New Opt-Outs</v>
      </c>
      <c r="C29" s="103">
        <f>C19*C24</f>
        <v>0</v>
      </c>
      <c r="D29" s="102">
        <f>D19*D24</f>
        <v>0</v>
      </c>
      <c r="E29" s="102">
        <f>E19*E24</f>
        <v>0</v>
      </c>
      <c r="F29" s="102">
        <f>F24*F19</f>
        <v>0</v>
      </c>
      <c r="G29" s="102"/>
      <c r="H29" s="102">
        <v>0</v>
      </c>
      <c r="I29" s="102">
        <v>0</v>
      </c>
      <c r="J29" s="102">
        <v>0</v>
      </c>
      <c r="K29" s="104">
        <v>0</v>
      </c>
    </row>
    <row r="30" spans="1:28" ht="15" customHeight="1" thickBot="1" x14ac:dyDescent="0.25">
      <c r="A30" s="212" t="s">
        <v>189</v>
      </c>
      <c r="C30" s="221">
        <f>SUM(C26:C29)</f>
        <v>0</v>
      </c>
      <c r="D30" s="118">
        <f>SUM(D26:D29)</f>
        <v>0</v>
      </c>
      <c r="E30" s="118">
        <f t="shared" ref="E30:I30" si="15">SUM(E26:E29)</f>
        <v>0</v>
      </c>
      <c r="F30" s="118">
        <f t="shared" si="15"/>
        <v>0</v>
      </c>
      <c r="G30" s="118">
        <f t="shared" si="15"/>
        <v>0</v>
      </c>
      <c r="H30" s="118">
        <f t="shared" si="15"/>
        <v>0</v>
      </c>
      <c r="I30" s="118">
        <f t="shared" si="15"/>
        <v>0</v>
      </c>
      <c r="J30" s="118">
        <f t="shared" ref="J30" si="16">SUM(J26:J29)</f>
        <v>0</v>
      </c>
      <c r="K30" s="109">
        <v>0</v>
      </c>
      <c r="N30" s="74" t="s">
        <v>110</v>
      </c>
      <c r="O30" s="75"/>
      <c r="P30" s="75"/>
      <c r="Q30" s="75"/>
      <c r="R30" s="75"/>
      <c r="S30" s="96"/>
      <c r="T30" s="76"/>
    </row>
    <row r="31" spans="1:28" ht="15.75" customHeight="1" thickTop="1" thickBot="1" x14ac:dyDescent="0.3">
      <c r="A31" s="199"/>
      <c r="B31" s="45"/>
      <c r="C31" s="199"/>
      <c r="D31" s="45"/>
      <c r="E31" s="45"/>
      <c r="F31" s="45"/>
      <c r="G31" s="45"/>
      <c r="H31" s="45"/>
      <c r="I31" s="45"/>
      <c r="J31" s="45"/>
      <c r="K31" s="192"/>
      <c r="N31" s="79"/>
      <c r="S31" s="97" t="s">
        <v>72</v>
      </c>
      <c r="T31" s="98" t="s">
        <v>72</v>
      </c>
    </row>
    <row r="32" spans="1:28" ht="16.5" thickBot="1" x14ac:dyDescent="0.3">
      <c r="N32" s="99" t="s">
        <v>108</v>
      </c>
      <c r="O32" s="100" t="s">
        <v>104</v>
      </c>
      <c r="P32" s="100" t="s">
        <v>105</v>
      </c>
      <c r="Q32" s="100" t="s">
        <v>106</v>
      </c>
      <c r="S32" s="97" t="s">
        <v>129</v>
      </c>
      <c r="T32" s="98" t="s">
        <v>130</v>
      </c>
    </row>
    <row r="33" spans="1:20" ht="15.75" x14ac:dyDescent="0.25">
      <c r="A33" s="110" t="s">
        <v>115</v>
      </c>
      <c r="B33" s="75"/>
      <c r="C33" s="75"/>
      <c r="D33" s="76"/>
      <c r="N33" s="101">
        <f>N22-1</f>
        <v>2022</v>
      </c>
      <c r="O33" s="102">
        <f>E30</f>
        <v>0</v>
      </c>
      <c r="P33" s="102">
        <f>ROUND(IF(O33=0,0,O33/E25),0)</f>
        <v>0</v>
      </c>
      <c r="Q33" s="102">
        <f t="shared" ref="Q33:Q39" si="17">O33-P33</f>
        <v>0</v>
      </c>
      <c r="S33" s="103">
        <f t="shared" ref="S33:S39" si="18">IF(Q33&gt;0,Q33,0)</f>
        <v>0</v>
      </c>
      <c r="T33" s="104">
        <f>IF(Q33&lt;0,Q33,0)</f>
        <v>0</v>
      </c>
    </row>
    <row r="34" spans="1:20" x14ac:dyDescent="0.2">
      <c r="A34" s="111" t="s">
        <v>94</v>
      </c>
      <c r="B34" s="112"/>
      <c r="C34" s="113" t="s">
        <v>7</v>
      </c>
      <c r="D34" s="114"/>
      <c r="E34" s="113"/>
      <c r="F34" s="113"/>
      <c r="N34" s="101">
        <f t="shared" ref="N34:N39" si="19">N33+1</f>
        <v>2023</v>
      </c>
      <c r="O34" s="102">
        <f t="shared" ref="O34:O39" si="20">Q33</f>
        <v>0</v>
      </c>
      <c r="P34" s="102">
        <f>IF($E$25&lt;=2,Q33,P33)</f>
        <v>0</v>
      </c>
      <c r="Q34" s="102">
        <f t="shared" si="17"/>
        <v>0</v>
      </c>
      <c r="S34" s="103">
        <f t="shared" si="18"/>
        <v>0</v>
      </c>
      <c r="T34" s="104">
        <f t="shared" ref="T34:T39" si="21">IF(Q34&lt;0,Q34,0)</f>
        <v>0</v>
      </c>
    </row>
    <row r="35" spans="1:20" x14ac:dyDescent="0.2">
      <c r="A35" s="115">
        <f>C16</f>
        <v>2024</v>
      </c>
      <c r="B35" s="112"/>
      <c r="C35" s="102">
        <f>P11</f>
        <v>0</v>
      </c>
      <c r="D35" s="104"/>
      <c r="E35" s="102"/>
      <c r="N35" s="101">
        <f t="shared" si="19"/>
        <v>2024</v>
      </c>
      <c r="O35" s="102">
        <f t="shared" si="20"/>
        <v>0</v>
      </c>
      <c r="P35" s="102">
        <f>IF($E$25&lt;=3,Q34,P34)</f>
        <v>0</v>
      </c>
      <c r="Q35" s="102">
        <f t="shared" si="17"/>
        <v>0</v>
      </c>
      <c r="S35" s="103">
        <f t="shared" si="18"/>
        <v>0</v>
      </c>
      <c r="T35" s="104">
        <f t="shared" si="21"/>
        <v>0</v>
      </c>
    </row>
    <row r="36" spans="1:20" x14ac:dyDescent="0.2">
      <c r="A36" s="115">
        <f>D16</f>
        <v>2023</v>
      </c>
      <c r="B36" s="112"/>
      <c r="C36" s="102">
        <f>P23</f>
        <v>0</v>
      </c>
      <c r="D36" s="104"/>
      <c r="E36" s="102"/>
      <c r="N36" s="101">
        <f t="shared" si="19"/>
        <v>2025</v>
      </c>
      <c r="O36" s="102">
        <f t="shared" si="20"/>
        <v>0</v>
      </c>
      <c r="P36" s="102">
        <f>IF($E$25&lt;=4,Q35,P35)</f>
        <v>0</v>
      </c>
      <c r="Q36" s="102">
        <f t="shared" si="17"/>
        <v>0</v>
      </c>
      <c r="S36" s="103">
        <f t="shared" si="18"/>
        <v>0</v>
      </c>
      <c r="T36" s="104">
        <f t="shared" si="21"/>
        <v>0</v>
      </c>
    </row>
    <row r="37" spans="1:20" x14ac:dyDescent="0.2">
      <c r="A37" s="115">
        <f>E16</f>
        <v>2022</v>
      </c>
      <c r="B37" s="112"/>
      <c r="C37" s="102">
        <f>P35</f>
        <v>0</v>
      </c>
      <c r="D37" s="116"/>
      <c r="E37" s="102"/>
      <c r="N37" s="101">
        <f t="shared" si="19"/>
        <v>2026</v>
      </c>
      <c r="O37" s="102">
        <f t="shared" si="20"/>
        <v>0</v>
      </c>
      <c r="P37" s="102">
        <f>IF($E$25&lt;=5,Q36,P36)</f>
        <v>0</v>
      </c>
      <c r="Q37" s="102">
        <f t="shared" si="17"/>
        <v>0</v>
      </c>
      <c r="S37" s="103">
        <f t="shared" si="18"/>
        <v>0</v>
      </c>
      <c r="T37" s="104">
        <f t="shared" si="21"/>
        <v>0</v>
      </c>
    </row>
    <row r="38" spans="1:20" ht="15.75" x14ac:dyDescent="0.25">
      <c r="A38" s="115">
        <f>F16</f>
        <v>2021</v>
      </c>
      <c r="B38" s="112"/>
      <c r="C38" s="102">
        <f>P47</f>
        <v>0</v>
      </c>
      <c r="D38" s="116"/>
      <c r="E38" s="102"/>
      <c r="G38" s="22"/>
      <c r="H38" s="22"/>
      <c r="I38" s="22"/>
      <c r="J38" s="22"/>
      <c r="K38" s="22"/>
      <c r="N38" s="101">
        <f t="shared" si="19"/>
        <v>2027</v>
      </c>
      <c r="O38" s="102">
        <f t="shared" si="20"/>
        <v>0</v>
      </c>
      <c r="P38" s="102">
        <f>IF($E$25&lt;=6,Q37,P37)</f>
        <v>0</v>
      </c>
      <c r="Q38" s="102">
        <f t="shared" si="17"/>
        <v>0</v>
      </c>
      <c r="S38" s="103">
        <f t="shared" si="18"/>
        <v>0</v>
      </c>
      <c r="T38" s="104">
        <f t="shared" si="21"/>
        <v>0</v>
      </c>
    </row>
    <row r="39" spans="1:20" ht="16.5" thickBot="1" x14ac:dyDescent="0.3">
      <c r="A39" s="115">
        <f>G16</f>
        <v>2020</v>
      </c>
      <c r="B39" s="112"/>
      <c r="C39" s="102">
        <f>P59</f>
        <v>0</v>
      </c>
      <c r="D39" s="116"/>
      <c r="E39" s="102"/>
      <c r="G39" s="29"/>
      <c r="H39" s="29"/>
      <c r="I39" s="29"/>
      <c r="J39" s="29"/>
      <c r="K39" s="29"/>
      <c r="N39" s="105">
        <f t="shared" si="19"/>
        <v>2028</v>
      </c>
      <c r="O39" s="106">
        <f t="shared" si="20"/>
        <v>0</v>
      </c>
      <c r="P39" s="106">
        <f>IF($E$25&lt;=7,Q38,P38)</f>
        <v>0</v>
      </c>
      <c r="Q39" s="106">
        <f t="shared" si="17"/>
        <v>0</v>
      </c>
      <c r="R39" s="45"/>
      <c r="S39" s="107">
        <f t="shared" si="18"/>
        <v>0</v>
      </c>
      <c r="T39" s="108">
        <f t="shared" si="21"/>
        <v>0</v>
      </c>
    </row>
    <row r="40" spans="1:20" ht="15.75" customHeight="1" thickBot="1" x14ac:dyDescent="0.25">
      <c r="A40" s="115">
        <f>H16</f>
        <v>2019</v>
      </c>
      <c r="B40" s="112"/>
      <c r="C40" s="102">
        <f>P71</f>
        <v>0</v>
      </c>
      <c r="D40" s="116"/>
      <c r="E40" s="102"/>
      <c r="G40" s="7"/>
      <c r="H40" s="7"/>
      <c r="I40" s="7"/>
      <c r="J40" s="7"/>
      <c r="K40" s="7"/>
    </row>
    <row r="41" spans="1:20" ht="15" customHeight="1" x14ac:dyDescent="0.2">
      <c r="A41" s="115">
        <f>I16</f>
        <v>2018</v>
      </c>
      <c r="B41" s="112"/>
      <c r="C41" s="102">
        <f>P83</f>
        <v>0</v>
      </c>
      <c r="D41" s="116"/>
      <c r="E41" s="102"/>
      <c r="N41" s="74" t="s">
        <v>111</v>
      </c>
      <c r="O41" s="75"/>
      <c r="P41" s="75"/>
      <c r="Q41" s="75"/>
      <c r="R41" s="75"/>
      <c r="S41" s="96"/>
      <c r="T41" s="76"/>
    </row>
    <row r="42" spans="1:20" ht="16.5" thickBot="1" x14ac:dyDescent="0.3">
      <c r="A42" s="639" t="s">
        <v>116</v>
      </c>
      <c r="B42" s="112"/>
      <c r="C42" s="118">
        <f>SUM(C35:C41)</f>
        <v>0</v>
      </c>
      <c r="D42" s="104"/>
      <c r="E42" s="102"/>
      <c r="N42" s="79"/>
      <c r="S42" s="97" t="s">
        <v>72</v>
      </c>
      <c r="T42" s="98" t="s">
        <v>72</v>
      </c>
    </row>
    <row r="43" spans="1:20" ht="16.5" thickTop="1" x14ac:dyDescent="0.25">
      <c r="A43" s="639"/>
      <c r="B43" s="112"/>
      <c r="C43" s="102"/>
      <c r="D43" s="119"/>
      <c r="N43" s="99" t="s">
        <v>108</v>
      </c>
      <c r="O43" s="100" t="s">
        <v>104</v>
      </c>
      <c r="P43" s="100" t="s">
        <v>105</v>
      </c>
      <c r="Q43" s="100" t="s">
        <v>106</v>
      </c>
      <c r="S43" s="97" t="s">
        <v>129</v>
      </c>
      <c r="T43" s="98" t="s">
        <v>130</v>
      </c>
    </row>
    <row r="44" spans="1:20" ht="15.75" thickBot="1" x14ac:dyDescent="0.25">
      <c r="A44" s="120"/>
      <c r="B44" s="45"/>
      <c r="C44" s="45"/>
      <c r="D44" s="121"/>
      <c r="F44" s="102"/>
      <c r="G44" s="128"/>
      <c r="N44" s="101">
        <f>N33-1</f>
        <v>2021</v>
      </c>
      <c r="O44" s="102">
        <f>F30</f>
        <v>0</v>
      </c>
      <c r="P44" s="102">
        <f>ROUND(IF(O44=0,0,O44/F25),0)</f>
        <v>0</v>
      </c>
      <c r="Q44" s="102">
        <f t="shared" ref="Q44:Q50" si="22">O44-P44</f>
        <v>0</v>
      </c>
      <c r="S44" s="103">
        <f t="shared" ref="S44:S50" si="23">IF(Q44&gt;0,Q44,0)</f>
        <v>0</v>
      </c>
      <c r="T44" s="104">
        <f>IF(Q44&lt;0,Q44,0)</f>
        <v>0</v>
      </c>
    </row>
    <row r="45" spans="1:20" x14ac:dyDescent="0.2">
      <c r="N45" s="101">
        <f t="shared" ref="N45:N50" si="24">N44+1</f>
        <v>2022</v>
      </c>
      <c r="O45" s="102">
        <f t="shared" ref="O45:O50" si="25">Q44</f>
        <v>0</v>
      </c>
      <c r="P45" s="102">
        <f>IF($F$25&lt;=2,Q44,P44)</f>
        <v>0</v>
      </c>
      <c r="Q45" s="102">
        <f t="shared" si="22"/>
        <v>0</v>
      </c>
      <c r="S45" s="103">
        <f t="shared" si="23"/>
        <v>0</v>
      </c>
      <c r="T45" s="104">
        <f t="shared" ref="T45:T50" si="26">IF(Q45&lt;0,Q45,0)</f>
        <v>0</v>
      </c>
    </row>
    <row r="46" spans="1:20" ht="15.75" thickBot="1" x14ac:dyDescent="0.25">
      <c r="N46" s="101">
        <f t="shared" si="24"/>
        <v>2023</v>
      </c>
      <c r="O46" s="102">
        <f t="shared" si="25"/>
        <v>0</v>
      </c>
      <c r="P46" s="102">
        <f>IF($F$25&lt;=3,Q45,P45)</f>
        <v>0</v>
      </c>
      <c r="Q46" s="102">
        <f t="shared" si="22"/>
        <v>0</v>
      </c>
      <c r="S46" s="103">
        <f t="shared" si="23"/>
        <v>0</v>
      </c>
      <c r="T46" s="104">
        <f t="shared" si="26"/>
        <v>0</v>
      </c>
    </row>
    <row r="47" spans="1:20" ht="15.75" x14ac:dyDescent="0.25">
      <c r="A47" s="110" t="s">
        <v>117</v>
      </c>
      <c r="B47" s="75"/>
      <c r="C47" s="75"/>
      <c r="D47" s="75"/>
      <c r="E47" s="76"/>
      <c r="N47" s="101">
        <f t="shared" si="24"/>
        <v>2024</v>
      </c>
      <c r="O47" s="102">
        <f t="shared" si="25"/>
        <v>0</v>
      </c>
      <c r="P47" s="551">
        <f>P46</f>
        <v>0</v>
      </c>
      <c r="Q47" s="102">
        <f t="shared" si="22"/>
        <v>0</v>
      </c>
      <c r="S47" s="103">
        <f t="shared" si="23"/>
        <v>0</v>
      </c>
      <c r="T47" s="104">
        <f t="shared" si="26"/>
        <v>0</v>
      </c>
    </row>
    <row r="48" spans="1:20" x14ac:dyDescent="0.2">
      <c r="A48" s="111"/>
      <c r="B48" s="112"/>
      <c r="C48" s="112"/>
      <c r="D48" s="112"/>
      <c r="E48" s="77"/>
      <c r="N48" s="101">
        <f t="shared" si="24"/>
        <v>2025</v>
      </c>
      <c r="O48" s="102">
        <f t="shared" si="25"/>
        <v>0</v>
      </c>
      <c r="P48" s="102">
        <f>IF($F$25&lt;=5,Q47,P47)</f>
        <v>0</v>
      </c>
      <c r="Q48" s="102">
        <f t="shared" si="22"/>
        <v>0</v>
      </c>
      <c r="S48" s="103">
        <f t="shared" si="23"/>
        <v>0</v>
      </c>
      <c r="T48" s="104">
        <f t="shared" si="26"/>
        <v>0</v>
      </c>
    </row>
    <row r="49" spans="1:30" x14ac:dyDescent="0.2">
      <c r="A49" s="111"/>
      <c r="B49" s="112"/>
      <c r="C49" s="634" t="s">
        <v>118</v>
      </c>
      <c r="D49" s="634" t="s">
        <v>119</v>
      </c>
      <c r="E49" s="635" t="s">
        <v>216</v>
      </c>
      <c r="N49" s="101">
        <f t="shared" si="24"/>
        <v>2026</v>
      </c>
      <c r="O49" s="102">
        <f t="shared" si="25"/>
        <v>0</v>
      </c>
      <c r="P49" s="102">
        <f>IF($F$25&lt;=6,Q48,P48)</f>
        <v>0</v>
      </c>
      <c r="Q49" s="102">
        <f t="shared" si="22"/>
        <v>0</v>
      </c>
      <c r="S49" s="103">
        <f t="shared" si="23"/>
        <v>0</v>
      </c>
      <c r="T49" s="104">
        <f t="shared" si="26"/>
        <v>0</v>
      </c>
    </row>
    <row r="50" spans="1:30" ht="15.75" thickBot="1" x14ac:dyDescent="0.25">
      <c r="A50" s="111" t="s">
        <v>121</v>
      </c>
      <c r="B50" s="112"/>
      <c r="C50" s="634"/>
      <c r="D50" s="634"/>
      <c r="E50" s="635"/>
      <c r="N50" s="105">
        <f t="shared" si="24"/>
        <v>2027</v>
      </c>
      <c r="O50" s="106">
        <f t="shared" si="25"/>
        <v>0</v>
      </c>
      <c r="P50" s="106">
        <f>IF($F$25&lt;=7,Q49,P49)</f>
        <v>0</v>
      </c>
      <c r="Q50" s="106">
        <f t="shared" si="22"/>
        <v>0</v>
      </c>
      <c r="R50" s="45"/>
      <c r="S50" s="107">
        <f t="shared" si="23"/>
        <v>0</v>
      </c>
      <c r="T50" s="108">
        <f t="shared" si="26"/>
        <v>0</v>
      </c>
    </row>
    <row r="51" spans="1:30" ht="15.75" thickBot="1" x14ac:dyDescent="0.25">
      <c r="A51" s="115">
        <f>C16</f>
        <v>2024</v>
      </c>
      <c r="B51" s="112"/>
      <c r="C51" s="78">
        <f>ROUND(S11,0)</f>
        <v>0</v>
      </c>
      <c r="D51" s="78">
        <f>ROUND(T11,0)</f>
        <v>0</v>
      </c>
      <c r="E51" s="104">
        <f>SUM(C51:D51)</f>
        <v>0</v>
      </c>
    </row>
    <row r="52" spans="1:30" x14ac:dyDescent="0.2">
      <c r="A52" s="115">
        <f>D16</f>
        <v>2023</v>
      </c>
      <c r="B52" s="112"/>
      <c r="C52" s="78">
        <f>ROUND(S23,0)</f>
        <v>0</v>
      </c>
      <c r="D52" s="78">
        <f>ROUND(T23,0)</f>
        <v>0</v>
      </c>
      <c r="E52" s="104">
        <f t="shared" ref="E52:E57" si="27">SUM(C52:D52)</f>
        <v>0</v>
      </c>
      <c r="N52" s="74" t="s">
        <v>112</v>
      </c>
      <c r="O52" s="75"/>
      <c r="P52" s="75"/>
      <c r="Q52" s="75"/>
      <c r="R52" s="75"/>
      <c r="S52" s="96"/>
      <c r="T52" s="76"/>
    </row>
    <row r="53" spans="1:30" ht="15.75" x14ac:dyDescent="0.25">
      <c r="A53" s="115">
        <f>E16</f>
        <v>2022</v>
      </c>
      <c r="B53" s="112"/>
      <c r="C53" s="78">
        <f>ROUND(S35,0)</f>
        <v>0</v>
      </c>
      <c r="D53" s="78">
        <f>ROUND(T35,0)</f>
        <v>0</v>
      </c>
      <c r="E53" s="104">
        <f t="shared" si="27"/>
        <v>0</v>
      </c>
      <c r="N53" s="79"/>
      <c r="S53" s="97" t="s">
        <v>72</v>
      </c>
      <c r="T53" s="98" t="s">
        <v>72</v>
      </c>
    </row>
    <row r="54" spans="1:30" ht="15.75" x14ac:dyDescent="0.25">
      <c r="A54" s="115">
        <f>F16</f>
        <v>2021</v>
      </c>
      <c r="B54" s="112"/>
      <c r="C54" s="78">
        <f>ROUND(S47,0)</f>
        <v>0</v>
      </c>
      <c r="D54" s="78">
        <f>ROUND(T47,0)</f>
        <v>0</v>
      </c>
      <c r="E54" s="104">
        <f t="shared" si="27"/>
        <v>0</v>
      </c>
      <c r="N54" s="99" t="s">
        <v>108</v>
      </c>
      <c r="O54" s="100" t="s">
        <v>104</v>
      </c>
      <c r="P54" s="100" t="s">
        <v>105</v>
      </c>
      <c r="Q54" s="100" t="s">
        <v>106</v>
      </c>
      <c r="S54" s="97" t="s">
        <v>129</v>
      </c>
      <c r="T54" s="98" t="s">
        <v>130</v>
      </c>
    </row>
    <row r="55" spans="1:30" x14ac:dyDescent="0.2">
      <c r="A55" s="115">
        <f>G16</f>
        <v>2020</v>
      </c>
      <c r="B55" s="112"/>
      <c r="C55" s="78">
        <f>ROUND(S59,0)</f>
        <v>0</v>
      </c>
      <c r="D55" s="78">
        <f>ROUND(T59,0)</f>
        <v>0</v>
      </c>
      <c r="E55" s="104">
        <f t="shared" si="27"/>
        <v>0</v>
      </c>
      <c r="N55" s="101">
        <f>N44-1</f>
        <v>2020</v>
      </c>
      <c r="O55" s="102">
        <f>G30</f>
        <v>0</v>
      </c>
      <c r="P55" s="102">
        <f>ROUND(IF(O55=0,0,O55/G25),0)</f>
        <v>0</v>
      </c>
      <c r="Q55" s="102">
        <f t="shared" ref="Q55:Q61" si="28">O55-P55</f>
        <v>0</v>
      </c>
      <c r="S55" s="103">
        <f t="shared" ref="S55:S61" si="29">IF(Q55&gt;0,Q55,0)</f>
        <v>0</v>
      </c>
      <c r="T55" s="104">
        <f>IF(Q55&lt;0,Q55,0)</f>
        <v>0</v>
      </c>
    </row>
    <row r="56" spans="1:30" x14ac:dyDescent="0.2">
      <c r="A56" s="115">
        <f>H16</f>
        <v>2019</v>
      </c>
      <c r="B56" s="112"/>
      <c r="C56" s="78">
        <f>ROUND(S71,0)</f>
        <v>0</v>
      </c>
      <c r="D56" s="78">
        <f>ROUND(T71,0)</f>
        <v>0</v>
      </c>
      <c r="E56" s="104">
        <f t="shared" si="27"/>
        <v>0</v>
      </c>
      <c r="N56" s="101">
        <f t="shared" ref="N56:N61" si="30">N55+1</f>
        <v>2021</v>
      </c>
      <c r="O56" s="102">
        <f t="shared" ref="O56:O61" si="31">Q55</f>
        <v>0</v>
      </c>
      <c r="P56" s="102">
        <f>IF($G$25&lt;=2,Q55,P55)</f>
        <v>0</v>
      </c>
      <c r="Q56" s="102">
        <f t="shared" si="28"/>
        <v>0</v>
      </c>
      <c r="S56" s="103">
        <f t="shared" si="29"/>
        <v>0</v>
      </c>
      <c r="T56" s="104">
        <f t="shared" ref="T56:T61" si="32">IF(Q56&lt;0,Q56,0)</f>
        <v>0</v>
      </c>
    </row>
    <row r="57" spans="1:30" x14ac:dyDescent="0.2">
      <c r="A57" s="115">
        <f>I16</f>
        <v>2018</v>
      </c>
      <c r="C57" s="102">
        <f>ROUND(S83,0)</f>
        <v>0</v>
      </c>
      <c r="D57" s="102">
        <f>ROUND(T83,0)</f>
        <v>0</v>
      </c>
      <c r="E57" s="104">
        <f t="shared" si="27"/>
        <v>0</v>
      </c>
      <c r="N57" s="101">
        <f t="shared" si="30"/>
        <v>2022</v>
      </c>
      <c r="O57" s="102">
        <f t="shared" si="31"/>
        <v>0</v>
      </c>
      <c r="P57" s="102">
        <f>IF($G$25&lt;=3,Q56,P56)</f>
        <v>0</v>
      </c>
      <c r="Q57" s="102">
        <f t="shared" si="28"/>
        <v>0</v>
      </c>
      <c r="S57" s="103">
        <f t="shared" si="29"/>
        <v>0</v>
      </c>
      <c r="T57" s="104">
        <f t="shared" si="32"/>
        <v>0</v>
      </c>
    </row>
    <row r="58" spans="1:30" ht="15.75" thickBot="1" x14ac:dyDescent="0.25">
      <c r="A58" s="639" t="s">
        <v>120</v>
      </c>
      <c r="B58" s="112"/>
      <c r="C58" s="118">
        <f>SUM(C51:C56)</f>
        <v>0</v>
      </c>
      <c r="D58" s="118">
        <f>SUM(D51:D56)</f>
        <v>0</v>
      </c>
      <c r="E58" s="109">
        <f>SUM(E51:E57)</f>
        <v>0</v>
      </c>
      <c r="N58" s="101">
        <f t="shared" si="30"/>
        <v>2023</v>
      </c>
      <c r="O58" s="102">
        <f t="shared" si="31"/>
        <v>0</v>
      </c>
      <c r="P58" s="102">
        <f>IF($G$25&lt;=4,Q57,P57)</f>
        <v>0</v>
      </c>
      <c r="Q58" s="102">
        <f t="shared" si="28"/>
        <v>0</v>
      </c>
      <c r="S58" s="103">
        <f t="shared" si="29"/>
        <v>0</v>
      </c>
      <c r="T58" s="104">
        <f t="shared" si="32"/>
        <v>0</v>
      </c>
    </row>
    <row r="59" spans="1:30" ht="15.75" thickTop="1" x14ac:dyDescent="0.2">
      <c r="A59" s="639"/>
      <c r="C59" s="102"/>
      <c r="D59" s="102"/>
      <c r="E59" s="77"/>
      <c r="N59" s="101">
        <f t="shared" si="30"/>
        <v>2024</v>
      </c>
      <c r="O59" s="102">
        <f t="shared" si="31"/>
        <v>0</v>
      </c>
      <c r="P59" s="102">
        <f>IF($G$25&lt;=5,Q58,P58)</f>
        <v>0</v>
      </c>
      <c r="Q59" s="102">
        <f t="shared" si="28"/>
        <v>0</v>
      </c>
      <c r="S59" s="103">
        <f t="shared" si="29"/>
        <v>0</v>
      </c>
      <c r="T59" s="104">
        <f t="shared" si="32"/>
        <v>0</v>
      </c>
    </row>
    <row r="60" spans="1:30" ht="15.75" thickBot="1" x14ac:dyDescent="0.25">
      <c r="A60" s="79"/>
      <c r="E60" s="77"/>
      <c r="N60" s="101">
        <f t="shared" si="30"/>
        <v>2025</v>
      </c>
      <c r="O60" s="102">
        <f t="shared" si="31"/>
        <v>0</v>
      </c>
      <c r="P60" s="102">
        <f>IF($G$25&lt;=6,Q59,P59)</f>
        <v>0</v>
      </c>
      <c r="Q60" s="102">
        <f t="shared" si="28"/>
        <v>0</v>
      </c>
      <c r="S60" s="103">
        <f t="shared" si="29"/>
        <v>0</v>
      </c>
      <c r="T60" s="104">
        <f t="shared" si="32"/>
        <v>0</v>
      </c>
    </row>
    <row r="61" spans="1:30" ht="16.5" thickBot="1" x14ac:dyDescent="0.3">
      <c r="A61" s="120"/>
      <c r="B61" s="45"/>
      <c r="C61" s="106"/>
      <c r="D61" s="106"/>
      <c r="E61" s="121"/>
      <c r="N61" s="105">
        <f t="shared" si="30"/>
        <v>2026</v>
      </c>
      <c r="O61" s="106">
        <f t="shared" si="31"/>
        <v>0</v>
      </c>
      <c r="P61" s="106">
        <f>IF($G$25&lt;=7,Q60,P60)</f>
        <v>0</v>
      </c>
      <c r="Q61" s="106">
        <f t="shared" si="28"/>
        <v>0</v>
      </c>
      <c r="R61" s="45"/>
      <c r="S61" s="107">
        <f t="shared" si="29"/>
        <v>0</v>
      </c>
      <c r="T61" s="108">
        <f t="shared" si="32"/>
        <v>0</v>
      </c>
      <c r="V61" s="631" t="s">
        <v>404</v>
      </c>
      <c r="W61" s="632"/>
      <c r="X61" s="632"/>
      <c r="Y61" s="632"/>
      <c r="Z61" s="632"/>
      <c r="AA61" s="632"/>
      <c r="AB61" s="632"/>
      <c r="AC61" s="632"/>
      <c r="AD61" s="633"/>
    </row>
    <row r="62" spans="1:30" ht="15.75" thickBot="1" x14ac:dyDescent="0.25"/>
    <row r="63" spans="1:30" x14ac:dyDescent="0.2">
      <c r="A63" s="129"/>
      <c r="N63" s="74" t="s">
        <v>113</v>
      </c>
      <c r="O63" s="75"/>
      <c r="P63" s="75"/>
      <c r="Q63" s="75"/>
      <c r="R63" s="75"/>
      <c r="S63" s="96"/>
      <c r="T63" s="76"/>
      <c r="V63" s="74" t="s">
        <v>111</v>
      </c>
      <c r="W63" s="75"/>
      <c r="X63" s="75"/>
      <c r="Y63" s="75"/>
      <c r="Z63" s="75"/>
      <c r="AA63" s="96"/>
      <c r="AB63" s="76"/>
    </row>
    <row r="64" spans="1:30" ht="15" customHeight="1" x14ac:dyDescent="0.25">
      <c r="A64" s="129"/>
      <c r="N64" s="79"/>
      <c r="S64" s="97" t="s">
        <v>72</v>
      </c>
      <c r="T64" s="98" t="s">
        <v>72</v>
      </c>
      <c r="V64" s="79"/>
      <c r="AA64" s="97" t="s">
        <v>72</v>
      </c>
      <c r="AB64" s="98" t="s">
        <v>72</v>
      </c>
    </row>
    <row r="65" spans="1:30" ht="31.5" x14ac:dyDescent="0.25">
      <c r="N65" s="99" t="s">
        <v>108</v>
      </c>
      <c r="O65" s="100" t="s">
        <v>104</v>
      </c>
      <c r="P65" s="100" t="s">
        <v>105</v>
      </c>
      <c r="Q65" s="100" t="s">
        <v>106</v>
      </c>
      <c r="S65" s="97" t="s">
        <v>129</v>
      </c>
      <c r="T65" s="98" t="s">
        <v>130</v>
      </c>
      <c r="V65" s="99" t="s">
        <v>108</v>
      </c>
      <c r="W65" s="100" t="s">
        <v>104</v>
      </c>
      <c r="X65" s="100" t="s">
        <v>105</v>
      </c>
      <c r="Y65" s="100" t="s">
        <v>106</v>
      </c>
      <c r="AA65" s="97" t="s">
        <v>129</v>
      </c>
      <c r="AB65" s="98" t="s">
        <v>130</v>
      </c>
      <c r="AC65" s="355" t="s">
        <v>398</v>
      </c>
      <c r="AD65" s="355" t="s">
        <v>399</v>
      </c>
    </row>
    <row r="66" spans="1:30" x14ac:dyDescent="0.2">
      <c r="N66" s="101">
        <f>N55-1</f>
        <v>2019</v>
      </c>
      <c r="O66" s="102">
        <f>H30</f>
        <v>0</v>
      </c>
      <c r="P66" s="102">
        <f>ROUND(IF(O66=0,0,O66/H25),0)</f>
        <v>0</v>
      </c>
      <c r="Q66" s="102">
        <f t="shared" ref="Q66:Q72" si="33">O66-P66</f>
        <v>0</v>
      </c>
      <c r="S66" s="103">
        <f t="shared" ref="S66:S72" si="34">IF(Q66&gt;0,Q66,0)</f>
        <v>0</v>
      </c>
      <c r="T66" s="104">
        <f>IF(Q66&lt;0,Q66,0)</f>
        <v>0</v>
      </c>
      <c r="V66" s="101">
        <f>N55-1</f>
        <v>2019</v>
      </c>
      <c r="W66" s="102">
        <f>G28</f>
        <v>0</v>
      </c>
      <c r="X66" s="102">
        <f>ROUND(IF(W66=0,0,W66/$G$25),0)</f>
        <v>0</v>
      </c>
      <c r="Y66" s="102">
        <f t="shared" ref="Y66:Y72" si="35">W66-X66</f>
        <v>0</v>
      </c>
      <c r="AA66" s="103">
        <f t="shared" ref="AA66:AA72" si="36">IF(Y66&gt;0,Y66,0)</f>
        <v>0</v>
      </c>
      <c r="AB66" s="104">
        <f t="shared" ref="AB66:AB72" si="37">IF(Y66&lt;0,Y66,0)</f>
        <v>0</v>
      </c>
      <c r="AC66" s="356"/>
      <c r="AD66" s="356"/>
    </row>
    <row r="67" spans="1:30" x14ac:dyDescent="0.2">
      <c r="N67" s="101">
        <f t="shared" ref="N67:N72" si="38">N66+1</f>
        <v>2020</v>
      </c>
      <c r="O67" s="102">
        <f t="shared" ref="O67:O72" si="39">Q66</f>
        <v>0</v>
      </c>
      <c r="P67" s="102">
        <f>IF($H$25&lt;=2,Q66,P66)</f>
        <v>0</v>
      </c>
      <c r="Q67" s="102">
        <f t="shared" si="33"/>
        <v>0</v>
      </c>
      <c r="S67" s="103">
        <f t="shared" si="34"/>
        <v>0</v>
      </c>
      <c r="T67" s="104">
        <f t="shared" ref="T67:T72" si="40">IF(Q67&lt;0,Q67,0)</f>
        <v>0</v>
      </c>
      <c r="V67" s="101">
        <f t="shared" ref="V67:V72" si="41">V66+1</f>
        <v>2020</v>
      </c>
      <c r="W67" s="102">
        <f t="shared" ref="W67:W72" si="42">Y66</f>
        <v>0</v>
      </c>
      <c r="X67" s="102">
        <f>IF($D$25&lt;=2,Y66,X66)</f>
        <v>0</v>
      </c>
      <c r="Y67" s="102">
        <f t="shared" si="35"/>
        <v>0</v>
      </c>
      <c r="AA67" s="103">
        <f t="shared" si="36"/>
        <v>0</v>
      </c>
      <c r="AB67" s="104">
        <f t="shared" si="37"/>
        <v>0</v>
      </c>
      <c r="AC67" s="356"/>
      <c r="AD67" s="356"/>
    </row>
    <row r="68" spans="1:30" x14ac:dyDescent="0.2">
      <c r="N68" s="101">
        <f t="shared" si="38"/>
        <v>2021</v>
      </c>
      <c r="O68" s="102">
        <f t="shared" si="39"/>
        <v>0</v>
      </c>
      <c r="P68" s="102">
        <f>IF($H$25&lt;=3,Q67,P67)</f>
        <v>0</v>
      </c>
      <c r="Q68" s="102">
        <f t="shared" si="33"/>
        <v>0</v>
      </c>
      <c r="S68" s="103">
        <f t="shared" si="34"/>
        <v>0</v>
      </c>
      <c r="T68" s="104">
        <f t="shared" si="40"/>
        <v>0</v>
      </c>
      <c r="V68" s="101">
        <f t="shared" si="41"/>
        <v>2021</v>
      </c>
      <c r="W68" s="102">
        <f t="shared" si="42"/>
        <v>0</v>
      </c>
      <c r="X68" s="102">
        <f>IF($D$25&lt;=3,Y67,X67)</f>
        <v>0</v>
      </c>
      <c r="Y68" s="102">
        <f t="shared" si="35"/>
        <v>0</v>
      </c>
      <c r="AA68" s="103">
        <f t="shared" si="36"/>
        <v>0</v>
      </c>
      <c r="AB68" s="104">
        <f t="shared" si="37"/>
        <v>0</v>
      </c>
      <c r="AC68" s="356"/>
      <c r="AD68" s="356"/>
    </row>
    <row r="69" spans="1:30" ht="15.75" thickBot="1" x14ac:dyDescent="0.25">
      <c r="N69" s="101">
        <f t="shared" si="38"/>
        <v>2022</v>
      </c>
      <c r="O69" s="102">
        <f t="shared" si="39"/>
        <v>0</v>
      </c>
      <c r="P69" s="102">
        <f>IF($H$25&lt;=4,Q68,P68)</f>
        <v>0</v>
      </c>
      <c r="Q69" s="102">
        <f t="shared" si="33"/>
        <v>0</v>
      </c>
      <c r="S69" s="103">
        <f t="shared" si="34"/>
        <v>0</v>
      </c>
      <c r="T69" s="104">
        <f t="shared" si="40"/>
        <v>0</v>
      </c>
      <c r="V69" s="101">
        <f t="shared" si="41"/>
        <v>2022</v>
      </c>
      <c r="W69" s="102">
        <f t="shared" si="42"/>
        <v>0</v>
      </c>
      <c r="X69" s="102">
        <f t="shared" ref="X69" si="43">IF($D$25&lt;=3,Y68,X68)</f>
        <v>0</v>
      </c>
      <c r="Y69" s="102">
        <f t="shared" si="35"/>
        <v>0</v>
      </c>
      <c r="AA69" s="103">
        <f t="shared" si="36"/>
        <v>0</v>
      </c>
      <c r="AB69" s="104">
        <f t="shared" si="37"/>
        <v>0</v>
      </c>
      <c r="AC69" s="356"/>
      <c r="AD69" s="356"/>
    </row>
    <row r="70" spans="1:30" ht="15.75" x14ac:dyDescent="0.25">
      <c r="A70" s="110" t="s">
        <v>214</v>
      </c>
      <c r="B70" s="75"/>
      <c r="C70" s="75"/>
      <c r="D70" s="75"/>
      <c r="E70" s="76"/>
      <c r="N70" s="101">
        <f t="shared" si="38"/>
        <v>2023</v>
      </c>
      <c r="O70" s="102">
        <f t="shared" si="39"/>
        <v>0</v>
      </c>
      <c r="P70" s="102">
        <f>IF($H$25&lt;=5,Q69,P69)</f>
        <v>0</v>
      </c>
      <c r="Q70" s="102">
        <f t="shared" si="33"/>
        <v>0</v>
      </c>
      <c r="S70" s="103">
        <f t="shared" si="34"/>
        <v>0</v>
      </c>
      <c r="T70" s="104">
        <f t="shared" si="40"/>
        <v>0</v>
      </c>
      <c r="V70" s="101">
        <f t="shared" si="41"/>
        <v>2023</v>
      </c>
      <c r="W70" s="102">
        <f t="shared" si="42"/>
        <v>0</v>
      </c>
      <c r="X70" s="102">
        <f>IF($D$25&lt;=4,Y69,X69)</f>
        <v>0</v>
      </c>
      <c r="Y70" s="102">
        <f t="shared" si="35"/>
        <v>0</v>
      </c>
      <c r="AA70" s="103">
        <f t="shared" si="36"/>
        <v>0</v>
      </c>
      <c r="AB70" s="104">
        <f t="shared" si="37"/>
        <v>0</v>
      </c>
      <c r="AC70" s="356">
        <f>Q59-Y70</f>
        <v>0</v>
      </c>
      <c r="AD70" s="356">
        <f>X70-P59</f>
        <v>0</v>
      </c>
    </row>
    <row r="71" spans="1:30" x14ac:dyDescent="0.2">
      <c r="A71" s="111"/>
      <c r="B71" s="112"/>
      <c r="C71" s="124" t="s">
        <v>217</v>
      </c>
      <c r="D71" s="112"/>
      <c r="E71" s="77"/>
      <c r="N71" s="101">
        <f t="shared" si="38"/>
        <v>2024</v>
      </c>
      <c r="O71" s="102">
        <f t="shared" si="39"/>
        <v>0</v>
      </c>
      <c r="P71" s="102">
        <f>IF($H$25&lt;=6,Q70,P70)</f>
        <v>0</v>
      </c>
      <c r="Q71" s="102">
        <f t="shared" si="33"/>
        <v>0</v>
      </c>
      <c r="S71" s="103">
        <f t="shared" si="34"/>
        <v>0</v>
      </c>
      <c r="T71" s="104">
        <f t="shared" si="40"/>
        <v>0</v>
      </c>
      <c r="V71" s="101">
        <f t="shared" si="41"/>
        <v>2024</v>
      </c>
      <c r="W71" s="102">
        <f t="shared" si="42"/>
        <v>0</v>
      </c>
      <c r="X71" s="102">
        <f>IF($D$25&lt;=6,Y70,X70)</f>
        <v>0</v>
      </c>
      <c r="Y71" s="102">
        <f t="shared" si="35"/>
        <v>0</v>
      </c>
      <c r="AA71" s="103">
        <f t="shared" si="36"/>
        <v>0</v>
      </c>
      <c r="AB71" s="104">
        <f t="shared" si="37"/>
        <v>0</v>
      </c>
    </row>
    <row r="72" spans="1:30" ht="15.75" thickBot="1" x14ac:dyDescent="0.25">
      <c r="A72" s="79"/>
      <c r="B72" s="112"/>
      <c r="C72" s="124" t="s">
        <v>218</v>
      </c>
      <c r="E72" s="77"/>
      <c r="N72" s="105">
        <f t="shared" si="38"/>
        <v>2025</v>
      </c>
      <c r="O72" s="106">
        <f t="shared" si="39"/>
        <v>0</v>
      </c>
      <c r="P72" s="106">
        <f>IF($H$25&lt;=7,Q71,P71)</f>
        <v>0</v>
      </c>
      <c r="Q72" s="106">
        <f t="shared" si="33"/>
        <v>0</v>
      </c>
      <c r="R72" s="45"/>
      <c r="S72" s="107">
        <f t="shared" si="34"/>
        <v>0</v>
      </c>
      <c r="T72" s="108">
        <f t="shared" si="40"/>
        <v>0</v>
      </c>
      <c r="V72" s="105">
        <f t="shared" si="41"/>
        <v>2025</v>
      </c>
      <c r="W72" s="106">
        <f t="shared" si="42"/>
        <v>0</v>
      </c>
      <c r="X72" s="106">
        <f>IF($D$25&lt;=7,Y71,X71)</f>
        <v>0</v>
      </c>
      <c r="Y72" s="106">
        <f t="shared" si="35"/>
        <v>0</v>
      </c>
      <c r="Z72" s="45"/>
      <c r="AA72" s="107">
        <f t="shared" si="36"/>
        <v>0</v>
      </c>
      <c r="AB72" s="108">
        <f t="shared" si="37"/>
        <v>0</v>
      </c>
    </row>
    <row r="73" spans="1:30" ht="15.75" thickBot="1" x14ac:dyDescent="0.25">
      <c r="A73" s="111" t="s">
        <v>215</v>
      </c>
      <c r="B73" s="112"/>
      <c r="C73" s="125" t="s">
        <v>294</v>
      </c>
      <c r="D73" s="112"/>
      <c r="E73" s="77"/>
    </row>
    <row r="74" spans="1:30" x14ac:dyDescent="0.2">
      <c r="A74" s="115"/>
      <c r="B74" s="112"/>
      <c r="C74" s="122"/>
      <c r="D74" s="78"/>
      <c r="E74" s="77"/>
      <c r="N74" s="74" t="s">
        <v>114</v>
      </c>
      <c r="O74" s="75"/>
      <c r="P74" s="75"/>
      <c r="Q74" s="75"/>
      <c r="R74" s="75"/>
      <c r="S74" s="96"/>
      <c r="T74" s="76"/>
      <c r="V74" s="74" t="s">
        <v>112</v>
      </c>
      <c r="W74" s="75"/>
      <c r="X74" s="75"/>
      <c r="Y74" s="75"/>
      <c r="Z74" s="75"/>
      <c r="AA74" s="96"/>
      <c r="AB74" s="76"/>
    </row>
    <row r="75" spans="1:30" ht="15.75" x14ac:dyDescent="0.25">
      <c r="A75" s="115">
        <f>N12+1</f>
        <v>2026</v>
      </c>
      <c r="B75" s="112"/>
      <c r="C75" s="78">
        <f>ROUND(P12+P24+P36+P48+P60+P72,0)</f>
        <v>0</v>
      </c>
      <c r="D75" s="78"/>
      <c r="E75" s="126"/>
      <c r="N75" s="79"/>
      <c r="S75" s="97" t="s">
        <v>72</v>
      </c>
      <c r="T75" s="98" t="s">
        <v>72</v>
      </c>
      <c r="V75" s="79"/>
      <c r="AA75" s="97" t="s">
        <v>72</v>
      </c>
      <c r="AB75" s="98" t="s">
        <v>72</v>
      </c>
    </row>
    <row r="76" spans="1:30" ht="31.5" x14ac:dyDescent="0.25">
      <c r="A76" s="115">
        <f>N13+1</f>
        <v>2027</v>
      </c>
      <c r="B76" s="112"/>
      <c r="C76" s="78">
        <f>ROUND(P13+P25+P37+P49+P61,0)</f>
        <v>0</v>
      </c>
      <c r="D76" s="78"/>
      <c r="E76" s="77"/>
      <c r="N76" s="99" t="s">
        <v>108</v>
      </c>
      <c r="O76" s="100" t="s">
        <v>104</v>
      </c>
      <c r="P76" s="100" t="s">
        <v>105</v>
      </c>
      <c r="Q76" s="100" t="s">
        <v>106</v>
      </c>
      <c r="S76" s="97" t="s">
        <v>129</v>
      </c>
      <c r="T76" s="98" t="s">
        <v>130</v>
      </c>
      <c r="V76" s="99" t="s">
        <v>108</v>
      </c>
      <c r="W76" s="100" t="s">
        <v>104</v>
      </c>
      <c r="X76" s="100" t="s">
        <v>105</v>
      </c>
      <c r="Y76" s="100" t="s">
        <v>106</v>
      </c>
      <c r="AA76" s="97" t="s">
        <v>129</v>
      </c>
      <c r="AB76" s="98" t="s">
        <v>130</v>
      </c>
      <c r="AC76" s="355" t="s">
        <v>398</v>
      </c>
      <c r="AD76" s="355" t="s">
        <v>399</v>
      </c>
    </row>
    <row r="77" spans="1:30" x14ac:dyDescent="0.2">
      <c r="A77" s="115">
        <f>N14+1</f>
        <v>2028</v>
      </c>
      <c r="B77" s="112"/>
      <c r="C77" s="78">
        <f>ROUND(P14+P26+P38+P50,0)</f>
        <v>0</v>
      </c>
      <c r="D77" s="78"/>
      <c r="E77" s="77"/>
      <c r="N77" s="101">
        <f>N66-1</f>
        <v>2018</v>
      </c>
      <c r="O77" s="102">
        <f>I30</f>
        <v>0</v>
      </c>
      <c r="P77" s="102">
        <f>ROUND(IF(O77=0,0,O77/I25),0)</f>
        <v>0</v>
      </c>
      <c r="Q77" s="102">
        <f t="shared" ref="Q77:Q83" si="44">O77-P77</f>
        <v>0</v>
      </c>
      <c r="S77" s="103">
        <f t="shared" ref="S77:S83" si="45">IF(Q77&gt;0,Q77,0)</f>
        <v>0</v>
      </c>
      <c r="T77" s="104">
        <f>IF(Q77&lt;0,Q77,0)</f>
        <v>0</v>
      </c>
      <c r="V77" s="101">
        <f>V66-1</f>
        <v>2018</v>
      </c>
      <c r="W77" s="102">
        <f>H28</f>
        <v>0</v>
      </c>
      <c r="X77" s="102">
        <f>ROUND(IF(W77=0,0,W77/$H$25),0)</f>
        <v>0</v>
      </c>
      <c r="Y77" s="102">
        <f t="shared" ref="Y77:Y83" si="46">W77-X77</f>
        <v>0</v>
      </c>
      <c r="AA77" s="103">
        <f t="shared" ref="AA77:AA83" si="47">IF(Y77&gt;0,Y77,0)</f>
        <v>0</v>
      </c>
      <c r="AB77" s="104">
        <f t="shared" ref="AB77:AB83" si="48">IF(Y77&lt;0,Y77,0)</f>
        <v>0</v>
      </c>
      <c r="AC77" s="356"/>
      <c r="AD77" s="356"/>
    </row>
    <row r="78" spans="1:30" x14ac:dyDescent="0.2">
      <c r="A78" s="115">
        <f>N15+1</f>
        <v>2029</v>
      </c>
      <c r="B78" s="112"/>
      <c r="C78" s="78">
        <f>ROUND(P15+P27+P39+C84,0)</f>
        <v>0</v>
      </c>
      <c r="D78" s="78"/>
      <c r="E78" s="77"/>
      <c r="N78" s="101">
        <f t="shared" ref="N78:N83" si="49">N77+1</f>
        <v>2019</v>
      </c>
      <c r="O78" s="102">
        <f t="shared" ref="O78:O83" si="50">Q77</f>
        <v>0</v>
      </c>
      <c r="P78" s="102">
        <f>IF($I$25&lt;=2,Q77,P77)</f>
        <v>0</v>
      </c>
      <c r="Q78" s="102">
        <f t="shared" si="44"/>
        <v>0</v>
      </c>
      <c r="S78" s="103">
        <f t="shared" si="45"/>
        <v>0</v>
      </c>
      <c r="T78" s="104">
        <f t="shared" ref="T78:T83" si="51">IF(Q78&lt;0,Q78,0)</f>
        <v>0</v>
      </c>
      <c r="V78" s="101">
        <f t="shared" ref="V78:V83" si="52">V77+1</f>
        <v>2019</v>
      </c>
      <c r="W78" s="102">
        <f t="shared" ref="W78:W83" si="53">Y77</f>
        <v>0</v>
      </c>
      <c r="X78" s="102">
        <f>IF($D$25&lt;=2,Y77,X77)</f>
        <v>0</v>
      </c>
      <c r="Y78" s="102">
        <f t="shared" si="46"/>
        <v>0</v>
      </c>
      <c r="AA78" s="103">
        <f t="shared" si="47"/>
        <v>0</v>
      </c>
      <c r="AB78" s="104">
        <f t="shared" si="48"/>
        <v>0</v>
      </c>
      <c r="AC78" s="356"/>
      <c r="AD78" s="356"/>
    </row>
    <row r="79" spans="1:30" x14ac:dyDescent="0.2">
      <c r="A79" s="115">
        <f>N16+1</f>
        <v>2030</v>
      </c>
      <c r="B79" s="112"/>
      <c r="C79" s="78">
        <f>ROUND(P16+P28,0)</f>
        <v>0</v>
      </c>
      <c r="D79" s="78"/>
      <c r="E79" s="77"/>
      <c r="N79" s="101">
        <f t="shared" si="49"/>
        <v>2020</v>
      </c>
      <c r="O79" s="102">
        <f t="shared" si="50"/>
        <v>0</v>
      </c>
      <c r="P79" s="102">
        <f>IF($I$25&lt;=3,Q78,P78)</f>
        <v>0</v>
      </c>
      <c r="Q79" s="102">
        <f t="shared" si="44"/>
        <v>0</v>
      </c>
      <c r="S79" s="103">
        <f t="shared" si="45"/>
        <v>0</v>
      </c>
      <c r="T79" s="104">
        <f t="shared" si="51"/>
        <v>0</v>
      </c>
      <c r="V79" s="101">
        <f t="shared" si="52"/>
        <v>2020</v>
      </c>
      <c r="W79" s="102">
        <f t="shared" si="53"/>
        <v>0</v>
      </c>
      <c r="X79" s="102">
        <f>IF($D$25&lt;=3,Y78,X78)</f>
        <v>0</v>
      </c>
      <c r="Y79" s="102">
        <f t="shared" si="46"/>
        <v>0</v>
      </c>
      <c r="AA79" s="103">
        <f t="shared" si="47"/>
        <v>0</v>
      </c>
      <c r="AB79" s="104">
        <f t="shared" si="48"/>
        <v>0</v>
      </c>
      <c r="AC79" s="356"/>
      <c r="AD79" s="356"/>
    </row>
    <row r="80" spans="1:30" x14ac:dyDescent="0.2">
      <c r="A80" s="115" t="s">
        <v>77</v>
      </c>
      <c r="C80" s="102">
        <f>P17</f>
        <v>0</v>
      </c>
      <c r="D80" s="102"/>
      <c r="E80" s="77"/>
      <c r="N80" s="101">
        <f t="shared" si="49"/>
        <v>2021</v>
      </c>
      <c r="O80" s="102">
        <f t="shared" si="50"/>
        <v>0</v>
      </c>
      <c r="P80" s="102">
        <f>IF($I$25&lt;=4,Q79,P79)</f>
        <v>0</v>
      </c>
      <c r="Q80" s="102">
        <f t="shared" si="44"/>
        <v>0</v>
      </c>
      <c r="S80" s="103">
        <f t="shared" si="45"/>
        <v>0</v>
      </c>
      <c r="T80" s="104">
        <f t="shared" si="51"/>
        <v>0</v>
      </c>
      <c r="V80" s="101">
        <f t="shared" si="52"/>
        <v>2021</v>
      </c>
      <c r="W80" s="102">
        <f t="shared" si="53"/>
        <v>0</v>
      </c>
      <c r="X80" s="102">
        <f>IF($D$25&lt;=3,Y79,X79)</f>
        <v>0</v>
      </c>
      <c r="Y80" s="102">
        <f t="shared" si="46"/>
        <v>0</v>
      </c>
      <c r="AA80" s="103">
        <f t="shared" si="47"/>
        <v>0</v>
      </c>
      <c r="AB80" s="104">
        <f t="shared" si="48"/>
        <v>0</v>
      </c>
      <c r="AC80" s="356"/>
      <c r="AD80" s="356"/>
    </row>
    <row r="81" spans="1:30" ht="15.75" customHeight="1" thickBot="1" x14ac:dyDescent="0.25">
      <c r="A81" s="117"/>
      <c r="B81" s="112"/>
      <c r="C81" s="118">
        <f>SUM(C75:C80)</f>
        <v>0</v>
      </c>
      <c r="D81" s="102"/>
      <c r="E81" s="77"/>
      <c r="N81" s="101">
        <f t="shared" si="49"/>
        <v>2022</v>
      </c>
      <c r="O81" s="102">
        <f t="shared" si="50"/>
        <v>0</v>
      </c>
      <c r="P81" s="102">
        <f>IF($I$25&lt;=5,Q80,P80)</f>
        <v>0</v>
      </c>
      <c r="Q81" s="102">
        <f t="shared" si="44"/>
        <v>0</v>
      </c>
      <c r="S81" s="103">
        <f t="shared" si="45"/>
        <v>0</v>
      </c>
      <c r="T81" s="104">
        <f t="shared" si="51"/>
        <v>0</v>
      </c>
      <c r="V81" s="101">
        <f t="shared" si="52"/>
        <v>2022</v>
      </c>
      <c r="W81" s="102">
        <f t="shared" si="53"/>
        <v>0</v>
      </c>
      <c r="X81" s="102">
        <f>IF($D$25&lt;=5,Y80,X80)</f>
        <v>0</v>
      </c>
      <c r="Y81" s="102">
        <f t="shared" si="46"/>
        <v>0</v>
      </c>
      <c r="AA81" s="103">
        <f t="shared" si="47"/>
        <v>0</v>
      </c>
      <c r="AB81" s="104">
        <f t="shared" si="48"/>
        <v>0</v>
      </c>
      <c r="AC81" s="356"/>
      <c r="AD81" s="356"/>
    </row>
    <row r="82" spans="1:30" ht="15.75" thickTop="1" x14ac:dyDescent="0.2">
      <c r="A82" s="117"/>
      <c r="C82" s="102"/>
      <c r="D82" s="102"/>
      <c r="E82" s="77"/>
      <c r="N82" s="101">
        <f t="shared" si="49"/>
        <v>2023</v>
      </c>
      <c r="O82" s="102">
        <f t="shared" si="50"/>
        <v>0</v>
      </c>
      <c r="P82" s="102">
        <f>IF($I$25&lt;=6,Q81,P81)</f>
        <v>0</v>
      </c>
      <c r="Q82" s="102">
        <f t="shared" si="44"/>
        <v>0</v>
      </c>
      <c r="S82" s="103">
        <f t="shared" si="45"/>
        <v>0</v>
      </c>
      <c r="T82" s="104">
        <f t="shared" si="51"/>
        <v>0</v>
      </c>
      <c r="V82" s="101">
        <f t="shared" si="52"/>
        <v>2023</v>
      </c>
      <c r="W82" s="102">
        <f t="shared" si="53"/>
        <v>0</v>
      </c>
      <c r="X82" s="102">
        <f>IF($D$25&lt;=6,Y81,X81)</f>
        <v>0</v>
      </c>
      <c r="Y82" s="102">
        <f t="shared" si="46"/>
        <v>0</v>
      </c>
      <c r="AA82" s="103">
        <f t="shared" si="47"/>
        <v>0</v>
      </c>
      <c r="AB82" s="104">
        <f t="shared" si="48"/>
        <v>0</v>
      </c>
      <c r="AC82" s="356">
        <f>Q60-Y82</f>
        <v>0</v>
      </c>
      <c r="AD82" s="356">
        <f>X82-P60</f>
        <v>0</v>
      </c>
    </row>
    <row r="83" spans="1:30" ht="15.75" thickBot="1" x14ac:dyDescent="0.25">
      <c r="A83" s="115" t="s">
        <v>67</v>
      </c>
      <c r="C83" s="102">
        <f>E58-C81</f>
        <v>0</v>
      </c>
      <c r="E83" s="77"/>
      <c r="N83" s="105">
        <f t="shared" si="49"/>
        <v>2024</v>
      </c>
      <c r="O83" s="106">
        <f t="shared" si="50"/>
        <v>0</v>
      </c>
      <c r="P83" s="106">
        <f>IF($I$25&lt;=7,Q82,P82)</f>
        <v>0</v>
      </c>
      <c r="Q83" s="106">
        <f t="shared" si="44"/>
        <v>0</v>
      </c>
      <c r="R83" s="45"/>
      <c r="S83" s="107">
        <f t="shared" si="45"/>
        <v>0</v>
      </c>
      <c r="T83" s="108">
        <f t="shared" si="51"/>
        <v>0</v>
      </c>
      <c r="V83" s="105">
        <f t="shared" si="52"/>
        <v>2024</v>
      </c>
      <c r="W83" s="106">
        <f t="shared" si="53"/>
        <v>0</v>
      </c>
      <c r="X83" s="106">
        <f>IF($D$25&lt;=7,Y82,X82)</f>
        <v>0</v>
      </c>
      <c r="Y83" s="106">
        <f t="shared" si="46"/>
        <v>0</v>
      </c>
      <c r="Z83" s="45"/>
      <c r="AA83" s="107">
        <f t="shared" si="47"/>
        <v>0</v>
      </c>
      <c r="AB83" s="108">
        <f t="shared" si="48"/>
        <v>0</v>
      </c>
    </row>
    <row r="84" spans="1:30" ht="15.75" thickBot="1" x14ac:dyDescent="0.25">
      <c r="A84" s="120" t="s">
        <v>179</v>
      </c>
      <c r="B84" s="45"/>
      <c r="C84" s="95">
        <v>0</v>
      </c>
      <c r="D84" s="106"/>
      <c r="E84" s="121"/>
    </row>
    <row r="85" spans="1:30" ht="47.25" x14ac:dyDescent="0.25">
      <c r="N85" s="74" t="s">
        <v>114</v>
      </c>
      <c r="O85" s="75"/>
      <c r="P85" s="75"/>
      <c r="Q85" s="75"/>
      <c r="R85" s="75"/>
      <c r="S85" s="96"/>
      <c r="T85" s="76"/>
      <c r="AC85" s="355" t="s">
        <v>410</v>
      </c>
      <c r="AD85" s="355" t="s">
        <v>411</v>
      </c>
    </row>
    <row r="86" spans="1:30" ht="15.75" x14ac:dyDescent="0.25">
      <c r="N86" s="79"/>
      <c r="S86" s="97" t="s">
        <v>72</v>
      </c>
      <c r="T86" s="98" t="s">
        <v>72</v>
      </c>
      <c r="AC86" s="355"/>
      <c r="AD86" s="355"/>
    </row>
    <row r="87" spans="1:30" ht="15.75" x14ac:dyDescent="0.25">
      <c r="N87" s="99" t="s">
        <v>108</v>
      </c>
      <c r="O87" s="100" t="s">
        <v>104</v>
      </c>
      <c r="P87" s="100" t="s">
        <v>105</v>
      </c>
      <c r="Q87" s="100" t="s">
        <v>106</v>
      </c>
      <c r="S87" s="97" t="s">
        <v>129</v>
      </c>
      <c r="T87" s="98" t="s">
        <v>130</v>
      </c>
      <c r="AC87" s="355"/>
      <c r="AD87" s="355"/>
    </row>
    <row r="88" spans="1:30" x14ac:dyDescent="0.2">
      <c r="N88" s="101">
        <f>N77-1</f>
        <v>2017</v>
      </c>
      <c r="O88" s="102">
        <f>I41</f>
        <v>0</v>
      </c>
      <c r="P88" s="102">
        <f>ROUND(IF(O88=0,0,O88/I36),0)</f>
        <v>0</v>
      </c>
      <c r="Q88" s="102">
        <f t="shared" ref="Q88:Q94" si="54">O88-P88</f>
        <v>0</v>
      </c>
      <c r="S88" s="103">
        <f t="shared" ref="S88:S94" si="55">IF(Q88&gt;0,Q88,0)</f>
        <v>0</v>
      </c>
      <c r="T88" s="104">
        <f>IF(Q88&lt;0,Q88,0)</f>
        <v>0</v>
      </c>
      <c r="AC88" s="356">
        <f>AC70+AC82</f>
        <v>0</v>
      </c>
      <c r="AD88" s="356">
        <f>AD70+AD82</f>
        <v>0</v>
      </c>
    </row>
    <row r="89" spans="1:30" x14ac:dyDescent="0.2">
      <c r="N89" s="101">
        <f t="shared" ref="N89:N94" si="56">N88+1</f>
        <v>2018</v>
      </c>
      <c r="O89" s="102">
        <f t="shared" ref="O89:O94" si="57">Q88</f>
        <v>0</v>
      </c>
      <c r="P89" s="102">
        <f>IF($I$25&lt;=2,Q88,P88)</f>
        <v>0</v>
      </c>
      <c r="Q89" s="102">
        <f t="shared" si="54"/>
        <v>0</v>
      </c>
      <c r="S89" s="103">
        <f t="shared" si="55"/>
        <v>0</v>
      </c>
      <c r="T89" s="104">
        <f t="shared" ref="T89:T94" si="58">IF(Q89&lt;0,Q89,0)</f>
        <v>0</v>
      </c>
    </row>
    <row r="90" spans="1:30" x14ac:dyDescent="0.2">
      <c r="N90" s="101">
        <f t="shared" si="56"/>
        <v>2019</v>
      </c>
      <c r="O90" s="102">
        <f t="shared" si="57"/>
        <v>0</v>
      </c>
      <c r="P90" s="102">
        <f>IF($I$25&lt;=3,Q89,P89)</f>
        <v>0</v>
      </c>
      <c r="Q90" s="102">
        <f t="shared" si="54"/>
        <v>0</v>
      </c>
      <c r="S90" s="103">
        <f t="shared" si="55"/>
        <v>0</v>
      </c>
      <c r="T90" s="104">
        <f t="shared" si="58"/>
        <v>0</v>
      </c>
    </row>
    <row r="91" spans="1:30" x14ac:dyDescent="0.2">
      <c r="N91" s="101">
        <f t="shared" si="56"/>
        <v>2020</v>
      </c>
      <c r="O91" s="102">
        <f t="shared" si="57"/>
        <v>0</v>
      </c>
      <c r="P91" s="102">
        <f>IF($I$25&lt;=4,Q90,P90)</f>
        <v>0</v>
      </c>
      <c r="Q91" s="102">
        <f t="shared" si="54"/>
        <v>0</v>
      </c>
      <c r="S91" s="103">
        <f t="shared" si="55"/>
        <v>0</v>
      </c>
      <c r="T91" s="104">
        <f t="shared" si="58"/>
        <v>0</v>
      </c>
    </row>
    <row r="92" spans="1:30" x14ac:dyDescent="0.2">
      <c r="N92" s="101">
        <f t="shared" si="56"/>
        <v>2021</v>
      </c>
      <c r="O92" s="102">
        <f t="shared" si="57"/>
        <v>0</v>
      </c>
      <c r="P92" s="102">
        <f>IF($I$25&lt;=5,Q91,P91)</f>
        <v>0</v>
      </c>
      <c r="Q92" s="102">
        <f t="shared" si="54"/>
        <v>0</v>
      </c>
      <c r="S92" s="103">
        <f t="shared" si="55"/>
        <v>0</v>
      </c>
      <c r="T92" s="104">
        <f t="shared" si="58"/>
        <v>0</v>
      </c>
    </row>
    <row r="93" spans="1:30" x14ac:dyDescent="0.2">
      <c r="N93" s="101">
        <f t="shared" si="56"/>
        <v>2022</v>
      </c>
      <c r="O93" s="102">
        <f t="shared" si="57"/>
        <v>0</v>
      </c>
      <c r="P93" s="102">
        <f>IF($I$25&lt;=6,Q92,P92)</f>
        <v>0</v>
      </c>
      <c r="Q93" s="102">
        <f t="shared" si="54"/>
        <v>0</v>
      </c>
      <c r="S93" s="103">
        <f t="shared" si="55"/>
        <v>0</v>
      </c>
      <c r="T93" s="104">
        <f t="shared" si="58"/>
        <v>0</v>
      </c>
    </row>
    <row r="94" spans="1:30" ht="15.75" thickBot="1" x14ac:dyDescent="0.25">
      <c r="N94" s="105">
        <f t="shared" si="56"/>
        <v>2023</v>
      </c>
      <c r="O94" s="106">
        <f t="shared" si="57"/>
        <v>0</v>
      </c>
      <c r="P94" s="106">
        <f>IF($I$25&lt;=7,Q93,P93)</f>
        <v>0</v>
      </c>
      <c r="Q94" s="106">
        <f t="shared" si="54"/>
        <v>0</v>
      </c>
      <c r="R94" s="45"/>
      <c r="S94" s="107">
        <f t="shared" si="55"/>
        <v>0</v>
      </c>
      <c r="T94" s="108">
        <f t="shared" si="58"/>
        <v>0</v>
      </c>
    </row>
    <row r="98" ht="15" customHeight="1" x14ac:dyDescent="0.2"/>
  </sheetData>
  <sheetProtection algorithmName="SHA-512" hashValue="+S6Mx2IePHaIhMA8sZvS0L3YX0Rsg40BbsOWg4LJUBZVgWs8ijxK/Dy0f6Z/Q6IefmfEvjG2wJl8YkrzYoMVHw==" saltValue="vmLbwvEzLIG4/kXAbhU8fA==" spinCount="100000" sheet="1" objects="1" scenarios="1"/>
  <mergeCells count="9">
    <mergeCell ref="C8:I13"/>
    <mergeCell ref="N6:T6"/>
    <mergeCell ref="V61:AD61"/>
    <mergeCell ref="A58:A59"/>
    <mergeCell ref="E49:E50"/>
    <mergeCell ref="A42:A43"/>
    <mergeCell ref="C49:C50"/>
    <mergeCell ref="D49:D50"/>
    <mergeCell ref="C15:K15"/>
  </mergeCells>
  <pageMargins left="0.7" right="0.7" top="0.75" bottom="0.75" header="0.3" footer="0.3"/>
  <pageSetup orientation="portrait" horizontalDpi="1200" verticalDpi="1200" r:id="rId1"/>
  <cellWatches>
    <cellWatch r="C83"/>
  </cellWatche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B1:AI64"/>
  <sheetViews>
    <sheetView zoomScale="70" zoomScaleNormal="70" workbookViewId="0">
      <selection activeCell="E33" sqref="E33"/>
    </sheetView>
  </sheetViews>
  <sheetFormatPr defaultColWidth="8.88671875" defaultRowHeight="15" x14ac:dyDescent="0.2"/>
  <cols>
    <col min="1" max="1" width="0.5546875" customWidth="1"/>
    <col min="2" max="2" width="29.109375" customWidth="1"/>
    <col min="3" max="3" width="16.33203125" customWidth="1"/>
    <col min="4" max="4" width="2.77734375" customWidth="1"/>
    <col min="5" max="5" width="14.77734375" customWidth="1"/>
    <col min="6" max="6" width="2.6640625" customWidth="1"/>
    <col min="7" max="7" width="15.33203125" customWidth="1"/>
    <col min="8" max="8" width="2.6640625" customWidth="1"/>
    <col min="9" max="9" width="14.77734375" customWidth="1"/>
    <col min="10" max="10" width="2.5546875" hidden="1" customWidth="1"/>
    <col min="11" max="11" width="14.77734375" hidden="1" customWidth="1"/>
    <col min="12" max="12" width="14.77734375" customWidth="1"/>
    <col min="13" max="13" width="2.77734375" customWidth="1"/>
    <col min="14" max="14" width="14.77734375" customWidth="1"/>
    <col min="15" max="15" width="2.77734375" customWidth="1"/>
    <col min="16" max="16" width="14.77734375" customWidth="1"/>
    <col min="17" max="17" width="2.77734375" customWidth="1"/>
    <col min="18" max="18" width="16.88671875" customWidth="1"/>
    <col min="19" max="19" width="2" customWidth="1"/>
    <col min="20" max="20" width="14.6640625" customWidth="1"/>
    <col min="21" max="21" width="2.6640625" customWidth="1"/>
    <col min="22" max="22" width="16.88671875" hidden="1" customWidth="1"/>
    <col min="23" max="23" width="2.77734375" hidden="1" customWidth="1"/>
    <col min="24" max="24" width="15.5546875" bestFit="1" customWidth="1"/>
    <col min="25" max="25" width="2.77734375" customWidth="1"/>
    <col min="26" max="26" width="14.77734375" customWidth="1"/>
    <col min="27" max="27" width="2.77734375" customWidth="1"/>
    <col min="28" max="28" width="14.77734375" customWidth="1"/>
    <col min="29" max="29" width="2.88671875" customWidth="1"/>
    <col min="30" max="30" width="14.77734375" hidden="1" customWidth="1"/>
    <col min="31" max="31" width="2.77734375" hidden="1" customWidth="1"/>
    <col min="32" max="32" width="14.77734375" customWidth="1"/>
    <col min="33" max="33" width="2.33203125" customWidth="1"/>
    <col min="35" max="35" width="12" bestFit="1" customWidth="1"/>
  </cols>
  <sheetData>
    <row r="1" spans="2:33" ht="18" x14ac:dyDescent="0.25">
      <c r="B1" s="25" t="s">
        <v>412</v>
      </c>
      <c r="L1" s="21" t="s">
        <v>16</v>
      </c>
    </row>
    <row r="2" spans="2:33" ht="24.75" customHeight="1" x14ac:dyDescent="0.25">
      <c r="B2" s="23"/>
      <c r="L2" s="21" t="str">
        <f>'Change in Proportion - MCVCs'!C4</f>
        <v>Password for protected sheet: BOE2025</v>
      </c>
    </row>
    <row r="3" spans="2:33" ht="18" customHeight="1" thickBot="1" x14ac:dyDescent="0.25">
      <c r="B3" s="23"/>
    </row>
    <row r="4" spans="2:33" ht="15.75" customHeight="1" x14ac:dyDescent="0.25">
      <c r="B4" s="96"/>
      <c r="C4" s="75"/>
      <c r="D4" s="75"/>
      <c r="E4" s="640" t="s">
        <v>264</v>
      </c>
      <c r="F4" s="75"/>
      <c r="G4" s="640" t="s">
        <v>232</v>
      </c>
      <c r="H4" s="75"/>
      <c r="I4" s="75"/>
      <c r="J4" s="75"/>
      <c r="K4" s="75"/>
      <c r="L4" s="654" t="s">
        <v>265</v>
      </c>
      <c r="AE4" s="175"/>
    </row>
    <row r="5" spans="2:33" ht="15.75" x14ac:dyDescent="0.25">
      <c r="B5" s="79"/>
      <c r="E5" s="641"/>
      <c r="G5" s="641"/>
      <c r="L5" s="655"/>
      <c r="AE5" s="175"/>
    </row>
    <row r="6" spans="2:33" ht="15.75" x14ac:dyDescent="0.25">
      <c r="B6" s="79"/>
      <c r="E6" s="641"/>
      <c r="G6" s="641"/>
      <c r="L6" s="655"/>
      <c r="AE6" s="175"/>
    </row>
    <row r="7" spans="2:33" ht="15.75" x14ac:dyDescent="0.25">
      <c r="B7" s="79"/>
      <c r="E7" s="641"/>
      <c r="G7" s="641"/>
      <c r="L7" s="655"/>
      <c r="AE7" s="175"/>
    </row>
    <row r="8" spans="2:33" ht="15.75" x14ac:dyDescent="0.25">
      <c r="B8" s="79"/>
      <c r="E8" s="641"/>
      <c r="G8" s="641"/>
      <c r="L8" s="655"/>
      <c r="AE8" s="175"/>
    </row>
    <row r="9" spans="2:33" ht="15.75" x14ac:dyDescent="0.25">
      <c r="B9" s="79"/>
      <c r="E9" s="641"/>
      <c r="G9" s="641"/>
      <c r="L9" s="655"/>
      <c r="AE9" s="175"/>
    </row>
    <row r="10" spans="2:33" x14ac:dyDescent="0.2">
      <c r="B10" s="79"/>
      <c r="L10" s="77"/>
    </row>
    <row r="11" spans="2:33" ht="15.75" x14ac:dyDescent="0.25">
      <c r="B11" s="222" t="s">
        <v>579</v>
      </c>
      <c r="L11" s="77"/>
    </row>
    <row r="12" spans="2:33" ht="15.75" x14ac:dyDescent="0.2">
      <c r="B12" s="202" t="s">
        <v>17</v>
      </c>
      <c r="E12" s="47">
        <f>'GASB 75 Sch Input CY'!B33</f>
        <v>0</v>
      </c>
      <c r="G12" s="47">
        <f>'MCVC Proportion'!G8</f>
        <v>0</v>
      </c>
      <c r="L12" s="228">
        <f>E12-G12</f>
        <v>0</v>
      </c>
      <c r="N12" s="491"/>
      <c r="O12" s="491"/>
      <c r="P12" s="491"/>
      <c r="Y12" s="46"/>
      <c r="AA12" s="46"/>
      <c r="AE12" s="47"/>
      <c r="AG12" s="46"/>
    </row>
    <row r="13" spans="2:33" ht="16.5" thickBot="1" x14ac:dyDescent="0.25">
      <c r="B13" s="223" t="s">
        <v>18</v>
      </c>
      <c r="C13" s="45"/>
      <c r="D13" s="45"/>
      <c r="E13" s="227">
        <f>'GASB 75 Sch Input CY'!F33</f>
        <v>0</v>
      </c>
      <c r="F13" s="45"/>
      <c r="G13" s="227">
        <f>'MCVC Proportion'!G12</f>
        <v>0</v>
      </c>
      <c r="H13" s="45"/>
      <c r="I13" s="45"/>
      <c r="J13" s="45"/>
      <c r="K13" s="45"/>
      <c r="L13" s="229">
        <f>E13-G13</f>
        <v>0</v>
      </c>
      <c r="M13" s="454"/>
      <c r="O13" s="454"/>
      <c r="Y13" s="46"/>
      <c r="AA13" s="46"/>
      <c r="AE13" s="131"/>
      <c r="AG13" s="46"/>
    </row>
    <row r="14" spans="2:33" ht="4.5" customHeight="1" x14ac:dyDescent="0.2"/>
    <row r="15" spans="2:33" ht="14.25" customHeight="1" x14ac:dyDescent="0.2">
      <c r="B15" s="23"/>
    </row>
    <row r="16" spans="2:33" ht="4.5" customHeight="1" thickBot="1" x14ac:dyDescent="0.25">
      <c r="B16" s="23"/>
    </row>
    <row r="17" spans="2:35" ht="18.75" x14ac:dyDescent="0.3">
      <c r="B17" s="642" t="s">
        <v>355</v>
      </c>
      <c r="C17" s="643"/>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c r="AG17" s="644"/>
    </row>
    <row r="18" spans="2:35" ht="18.75" x14ac:dyDescent="0.3">
      <c r="B18" s="645" t="s">
        <v>356</v>
      </c>
      <c r="C18" s="646"/>
      <c r="D18" s="646"/>
      <c r="E18" s="646"/>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7"/>
    </row>
    <row r="19" spans="2:35" ht="18.75" x14ac:dyDescent="0.3">
      <c r="B19" s="605" t="s">
        <v>665</v>
      </c>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7"/>
    </row>
    <row r="20" spans="2:35" ht="15.75" thickBot="1" x14ac:dyDescent="0.25">
      <c r="B20" s="79"/>
      <c r="E20" s="80"/>
      <c r="F20" s="80"/>
      <c r="G20" s="80"/>
      <c r="H20" s="80"/>
      <c r="I20" s="80"/>
      <c r="J20" s="80"/>
      <c r="K20" s="80"/>
      <c r="AG20" s="77"/>
    </row>
    <row r="21" spans="2:35" ht="33.75" customHeight="1" thickBot="1" x14ac:dyDescent="0.3">
      <c r="B21" s="79"/>
      <c r="C21" s="81"/>
      <c r="D21" s="81"/>
      <c r="E21" s="648" t="s">
        <v>10</v>
      </c>
      <c r="F21" s="649"/>
      <c r="G21" s="649"/>
      <c r="H21" s="649"/>
      <c r="I21" s="649"/>
      <c r="J21" s="649"/>
      <c r="K21" s="649"/>
      <c r="L21" s="650"/>
      <c r="M21" s="82"/>
      <c r="N21" s="648" t="s">
        <v>11</v>
      </c>
      <c r="O21" s="649"/>
      <c r="P21" s="649"/>
      <c r="Q21" s="649"/>
      <c r="R21" s="649"/>
      <c r="S21" s="649"/>
      <c r="T21" s="649"/>
      <c r="U21" s="649"/>
      <c r="V21" s="649"/>
      <c r="W21" s="649"/>
      <c r="X21" s="650"/>
      <c r="Z21" s="651" t="s">
        <v>362</v>
      </c>
      <c r="AA21" s="652"/>
      <c r="AB21" s="652"/>
      <c r="AC21" s="652"/>
      <c r="AD21" s="652"/>
      <c r="AE21" s="652"/>
      <c r="AF21" s="653"/>
      <c r="AG21" s="77"/>
    </row>
    <row r="22" spans="2:35" ht="184.5" customHeight="1" thickBot="1" x14ac:dyDescent="0.35">
      <c r="B22" s="83" t="s">
        <v>88</v>
      </c>
      <c r="C22" s="424" t="s">
        <v>486</v>
      </c>
      <c r="D22" s="86"/>
      <c r="E22" s="424" t="s">
        <v>185</v>
      </c>
      <c r="F22" s="85"/>
      <c r="G22" s="424" t="s">
        <v>247</v>
      </c>
      <c r="H22" s="85"/>
      <c r="I22" s="424" t="s">
        <v>476</v>
      </c>
      <c r="J22" s="85"/>
      <c r="K22" s="424" t="s">
        <v>475</v>
      </c>
      <c r="L22" s="424" t="s">
        <v>89</v>
      </c>
      <c r="M22" s="87"/>
      <c r="N22" s="424" t="s">
        <v>480</v>
      </c>
      <c r="O22" s="87"/>
      <c r="P22" s="424" t="s">
        <v>247</v>
      </c>
      <c r="Q22" s="85"/>
      <c r="R22" s="424" t="s">
        <v>485</v>
      </c>
      <c r="S22" s="85"/>
      <c r="T22" s="424" t="s">
        <v>185</v>
      </c>
      <c r="U22" s="85"/>
      <c r="V22" s="425" t="s">
        <v>475</v>
      </c>
      <c r="W22" s="85"/>
      <c r="X22" s="424" t="s">
        <v>90</v>
      </c>
      <c r="Y22" s="87"/>
      <c r="Z22" s="424" t="s">
        <v>332</v>
      </c>
      <c r="AA22" s="87"/>
      <c r="AB22" s="424" t="s">
        <v>186</v>
      </c>
      <c r="AC22" s="85"/>
      <c r="AD22" s="425" t="s">
        <v>478</v>
      </c>
      <c r="AE22" s="88"/>
      <c r="AF22" s="424" t="s">
        <v>338</v>
      </c>
      <c r="AG22" s="84"/>
    </row>
    <row r="23" spans="2:35" ht="18.75" x14ac:dyDescent="0.3">
      <c r="B23" s="83"/>
      <c r="C23" s="85"/>
      <c r="D23" s="86"/>
      <c r="E23" s="85"/>
      <c r="F23" s="85"/>
      <c r="G23" s="85"/>
      <c r="H23" s="85"/>
      <c r="I23" s="85"/>
      <c r="J23" s="85"/>
      <c r="K23" s="85"/>
      <c r="L23" s="85"/>
      <c r="M23" s="87"/>
      <c r="N23" s="85"/>
      <c r="O23" s="87"/>
      <c r="P23" s="85"/>
      <c r="Q23" s="85"/>
      <c r="R23" s="85"/>
      <c r="S23" s="85"/>
      <c r="T23" s="85"/>
      <c r="U23" s="85"/>
      <c r="V23" s="85"/>
      <c r="W23" s="85"/>
      <c r="X23" s="85"/>
      <c r="Y23" s="87"/>
      <c r="Z23" s="85"/>
      <c r="AA23" s="87"/>
      <c r="AB23" s="85"/>
      <c r="AC23" s="85"/>
      <c r="AD23" s="85"/>
      <c r="AE23" s="88"/>
      <c r="AF23" s="85"/>
      <c r="AG23" s="84"/>
    </row>
    <row r="24" spans="2:35" ht="15.75" x14ac:dyDescent="0.25">
      <c r="B24" s="191" t="s">
        <v>316</v>
      </c>
      <c r="C24" s="426">
        <f>'GASB 75 Sch Input CY'!B21</f>
        <v>-41636097</v>
      </c>
      <c r="D24" s="426"/>
      <c r="E24" s="426">
        <f>'GASB 75 Sch Input CY'!F21</f>
        <v>41087309</v>
      </c>
      <c r="F24" s="426"/>
      <c r="G24" s="426">
        <f>'GASB 75 Sch Input CY'!H21</f>
        <v>15895326</v>
      </c>
      <c r="H24" s="426"/>
      <c r="I24" s="426">
        <f>'GASB 75 Sch Input CY'!J21</f>
        <v>145026764</v>
      </c>
      <c r="J24" s="426"/>
      <c r="K24" s="426"/>
      <c r="L24" s="426">
        <f>SUM(E24:K24)</f>
        <v>202009399</v>
      </c>
      <c r="M24" s="426"/>
      <c r="N24" s="426">
        <f>'GASB 75 Sch Input CY'!N21</f>
        <v>41867247</v>
      </c>
      <c r="O24" s="426"/>
      <c r="P24" s="426">
        <f>'GASB 75 Sch Input CY'!P21</f>
        <v>49234028</v>
      </c>
      <c r="Q24" s="426"/>
      <c r="R24" s="426">
        <f>'GASB 75 Sch Input CY'!R21</f>
        <v>47436791</v>
      </c>
      <c r="S24" s="426"/>
      <c r="T24" s="426">
        <f>'GASB 75 Sch Input CY'!T21</f>
        <v>41087309</v>
      </c>
      <c r="U24" s="426"/>
      <c r="V24" s="426">
        <f>'GASB 75 Sch Input CY'!V21</f>
        <v>0</v>
      </c>
      <c r="W24" s="426"/>
      <c r="X24" s="426">
        <f>SUM(N24:V24)</f>
        <v>179625375</v>
      </c>
      <c r="Y24" s="426"/>
      <c r="Z24" s="426">
        <f>'GASB 75 Sch Input CY'!Z21</f>
        <v>-5633492</v>
      </c>
      <c r="AA24" s="426"/>
      <c r="AB24" s="426">
        <f>'GASB 75 Sch Input CY'!AB21</f>
        <v>0</v>
      </c>
      <c r="AC24" s="426"/>
      <c r="AD24" s="426">
        <f>'GASB 75 Sch Input CY'!AD21</f>
        <v>0</v>
      </c>
      <c r="AE24" s="426"/>
      <c r="AF24" s="426">
        <f>Z24+AB24</f>
        <v>-5633492</v>
      </c>
      <c r="AG24" s="427"/>
    </row>
    <row r="25" spans="2:35" x14ac:dyDescent="0.2">
      <c r="B25" s="89"/>
      <c r="C25" s="90"/>
      <c r="D25" s="90"/>
      <c r="E25" s="91"/>
      <c r="F25" s="91"/>
      <c r="G25" s="90"/>
      <c r="H25" s="91"/>
      <c r="I25" s="91"/>
      <c r="J25" s="91"/>
      <c r="K25" s="91"/>
      <c r="L25" s="90"/>
      <c r="M25" s="90"/>
      <c r="N25" s="90"/>
      <c r="O25" s="90"/>
      <c r="P25" s="90"/>
      <c r="Q25" s="90"/>
      <c r="R25" s="90"/>
      <c r="S25" s="90"/>
      <c r="T25" s="90"/>
      <c r="U25" s="90"/>
      <c r="V25" s="90"/>
      <c r="W25" s="90"/>
      <c r="X25" s="90"/>
      <c r="Y25" s="90"/>
      <c r="Z25" s="90"/>
      <c r="AA25" s="90"/>
      <c r="AB25" s="90"/>
      <c r="AC25" s="90"/>
      <c r="AD25" s="90"/>
      <c r="AE25" s="90"/>
      <c r="AF25" s="90"/>
      <c r="AG25" s="92"/>
    </row>
    <row r="26" spans="2:35" ht="15.75" x14ac:dyDescent="0.25">
      <c r="B26" s="191"/>
      <c r="C26" s="90"/>
      <c r="D26" s="90"/>
      <c r="E26" s="91"/>
      <c r="F26" s="91"/>
      <c r="G26" s="90"/>
      <c r="H26" s="91"/>
      <c r="I26" s="91"/>
      <c r="J26" s="91"/>
      <c r="K26" s="91"/>
      <c r="L26" s="90"/>
      <c r="M26" s="90"/>
      <c r="N26" s="90"/>
      <c r="O26" s="90"/>
      <c r="P26" s="90"/>
      <c r="Q26" s="90"/>
      <c r="R26" s="90"/>
      <c r="S26" s="90"/>
      <c r="T26" s="90"/>
      <c r="U26" s="90"/>
      <c r="V26" s="90"/>
      <c r="W26" s="90"/>
      <c r="X26" s="90"/>
      <c r="Y26" s="90"/>
      <c r="Z26" s="90"/>
      <c r="AA26" s="90"/>
      <c r="AB26" s="90"/>
      <c r="AC26" s="90"/>
      <c r="AD26" s="90"/>
      <c r="AE26" s="90"/>
      <c r="AF26" s="90"/>
      <c r="AG26" s="92"/>
    </row>
    <row r="27" spans="2:35" s="44" customFormat="1" ht="31.5" x14ac:dyDescent="0.25">
      <c r="B27" s="428" t="s">
        <v>295</v>
      </c>
      <c r="C27" s="429">
        <f>'GASB 75 Sch Input CY'!B15</f>
        <v>0</v>
      </c>
      <c r="D27" s="46"/>
      <c r="E27" s="429">
        <f>'GASB 75 Sch Input CY'!F15</f>
        <v>0</v>
      </c>
      <c r="F27" s="430"/>
      <c r="G27" s="429">
        <f>'GASB 75 Sch Input CY'!H15</f>
        <v>0</v>
      </c>
      <c r="H27" s="430"/>
      <c r="I27" s="429">
        <f>'GASB 75 Sch Input CY'!J15</f>
        <v>0</v>
      </c>
      <c r="J27" s="429"/>
      <c r="K27" s="429">
        <v>0</v>
      </c>
      <c r="L27" s="429">
        <f>SUM(E27:K27)</f>
        <v>0</v>
      </c>
      <c r="M27" s="429"/>
      <c r="N27" s="429">
        <f>'GASB 75 Sch Input CY'!N15</f>
        <v>0</v>
      </c>
      <c r="O27" s="46"/>
      <c r="P27" s="429">
        <f>'GASB 75 Sch Input CY'!P15</f>
        <v>0</v>
      </c>
      <c r="Q27" s="46"/>
      <c r="R27" s="429">
        <f>'GASB 75 Sch Input CY'!R15</f>
        <v>0</v>
      </c>
      <c r="S27" s="429"/>
      <c r="T27" s="429">
        <f>'GASB 75 Sch Input CY'!T15</f>
        <v>0</v>
      </c>
      <c r="U27" s="429"/>
      <c r="V27" s="429">
        <f>'GASB 75 Sch Input CY'!V15</f>
        <v>0</v>
      </c>
      <c r="W27" s="46"/>
      <c r="X27" s="429">
        <f>SUM(N27:V27)</f>
        <v>0</v>
      </c>
      <c r="Y27" s="429"/>
      <c r="Z27" s="429">
        <f>'GASB 75 Sch Input CY'!Z15</f>
        <v>0</v>
      </c>
      <c r="AA27" s="46"/>
      <c r="AB27" s="429">
        <f>'GASB 75 Sch Input CY'!AB15+'GASB 75 Sch Input CY'!AD15</f>
        <v>0</v>
      </c>
      <c r="AC27" s="429"/>
      <c r="AD27" s="429">
        <f>'GASB 75 Sch Input CY'!AD15</f>
        <v>0</v>
      </c>
      <c r="AE27" s="46"/>
      <c r="AF27" s="429">
        <f>Z27+AB27</f>
        <v>0</v>
      </c>
      <c r="AG27" s="230"/>
      <c r="AI27" s="231"/>
    </row>
    <row r="28" spans="2:35" x14ac:dyDescent="0.2">
      <c r="B28" s="79"/>
      <c r="AG28" s="77"/>
    </row>
    <row r="29" spans="2:35" s="130" customFormat="1" ht="15.75" x14ac:dyDescent="0.2">
      <c r="B29" s="431" t="s">
        <v>232</v>
      </c>
      <c r="C29" s="392">
        <f>C24*$G$13</f>
        <v>0</v>
      </c>
      <c r="D29" s="46"/>
      <c r="E29" s="392">
        <f>'Change in Proportion - MCVCs'!C58</f>
        <v>0</v>
      </c>
      <c r="F29" s="392"/>
      <c r="G29" s="392">
        <f>G24*$G$13</f>
        <v>0</v>
      </c>
      <c r="H29" s="392"/>
      <c r="I29" s="392">
        <f>I24*$G$13</f>
        <v>0</v>
      </c>
      <c r="J29" s="393"/>
      <c r="K29" s="392">
        <f>K24*$G$13</f>
        <v>0</v>
      </c>
      <c r="L29" s="392">
        <f>SUM(E29:K29)</f>
        <v>0</v>
      </c>
      <c r="M29" s="392"/>
      <c r="N29" s="392">
        <f>N24*$G$13</f>
        <v>0</v>
      </c>
      <c r="O29" s="46"/>
      <c r="P29" s="392">
        <f>P24*$G$13</f>
        <v>0</v>
      </c>
      <c r="Q29" s="46"/>
      <c r="R29" s="392">
        <f>R24*$G$13</f>
        <v>0</v>
      </c>
      <c r="S29" s="393"/>
      <c r="T29" s="392">
        <f>-'Change in Proportion - MCVCs'!D58</f>
        <v>0</v>
      </c>
      <c r="U29" s="392"/>
      <c r="V29" s="392">
        <f>V24*$G$13</f>
        <v>0</v>
      </c>
      <c r="W29" s="46"/>
      <c r="X29" s="392">
        <f>SUM(N29:V29)</f>
        <v>0</v>
      </c>
      <c r="Y29" s="392"/>
      <c r="Z29" s="392">
        <f>Z24*$G$13</f>
        <v>0</v>
      </c>
      <c r="AA29" s="46"/>
      <c r="AB29" s="393">
        <f>'Change in Proportion - MCVCs'!C42</f>
        <v>0</v>
      </c>
      <c r="AC29" s="393"/>
      <c r="AD29" s="393">
        <f>AD27*N12</f>
        <v>0</v>
      </c>
      <c r="AE29" s="46"/>
      <c r="AF29" s="392">
        <f>Z29+AB29</f>
        <v>0</v>
      </c>
      <c r="AG29" s="230"/>
    </row>
    <row r="30" spans="2:35" s="130" customFormat="1" ht="16.5" thickBot="1" x14ac:dyDescent="0.25">
      <c r="B30" s="394"/>
      <c r="C30" s="392"/>
      <c r="D30" s="46"/>
      <c r="E30" s="392"/>
      <c r="F30" s="392"/>
      <c r="G30" s="392"/>
      <c r="H30" s="392"/>
      <c r="I30" s="392"/>
      <c r="J30" s="392"/>
      <c r="K30" s="392"/>
      <c r="L30" s="392"/>
      <c r="M30" s="392"/>
      <c r="N30" s="392"/>
      <c r="O30" s="46"/>
      <c r="P30" s="392"/>
      <c r="Q30" s="46"/>
      <c r="R30" s="46"/>
      <c r="S30" s="46"/>
      <c r="T30" s="46"/>
      <c r="U30" s="46"/>
      <c r="V30" s="46"/>
      <c r="W30" s="46"/>
      <c r="X30" s="392"/>
      <c r="Y30" s="392"/>
      <c r="Z30" s="392"/>
      <c r="AA30" s="46"/>
      <c r="AB30" s="392"/>
      <c r="AC30" s="392"/>
      <c r="AD30" s="392"/>
      <c r="AE30" s="46"/>
      <c r="AF30" s="392"/>
      <c r="AG30" s="230"/>
    </row>
    <row r="31" spans="2:35" s="130" customFormat="1" ht="16.5" hidden="1" thickBot="1" x14ac:dyDescent="0.25">
      <c r="B31" s="432" t="s">
        <v>231</v>
      </c>
      <c r="C31" s="392"/>
      <c r="D31" s="46"/>
      <c r="E31" s="392"/>
      <c r="F31" s="395"/>
      <c r="G31" s="392"/>
      <c r="H31" s="395"/>
      <c r="I31" s="396"/>
      <c r="J31" s="396"/>
      <c r="K31" s="392"/>
      <c r="L31" s="392"/>
      <c r="M31" s="392"/>
      <c r="N31" s="392"/>
      <c r="O31" s="46"/>
      <c r="P31" s="392"/>
      <c r="Q31" s="46"/>
      <c r="R31" s="393"/>
      <c r="S31" s="393"/>
      <c r="T31" s="392"/>
      <c r="U31" s="392"/>
      <c r="V31" s="392"/>
      <c r="W31" s="46"/>
      <c r="X31" s="392"/>
      <c r="Y31" s="392"/>
      <c r="Z31" s="392"/>
      <c r="AA31" s="46"/>
      <c r="AB31" s="396"/>
      <c r="AC31" s="396"/>
      <c r="AD31" s="396"/>
      <c r="AE31" s="46"/>
      <c r="AF31" s="392"/>
      <c r="AG31" s="230"/>
    </row>
    <row r="32" spans="2:35" s="30" customFormat="1" ht="9" customHeight="1" x14ac:dyDescent="0.2">
      <c r="B32" s="433"/>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5"/>
    </row>
    <row r="33" spans="2:33" ht="30.75" thickBot="1" x14ac:dyDescent="0.25">
      <c r="B33" s="432" t="s">
        <v>296</v>
      </c>
      <c r="C33" s="436">
        <f>C27-C29-C31</f>
        <v>0</v>
      </c>
      <c r="D33" s="46"/>
      <c r="E33" s="436">
        <f>'Change in Proportion - LEAs'!C59</f>
        <v>0</v>
      </c>
      <c r="F33" s="90"/>
      <c r="G33" s="436">
        <f>G27-G29-G31</f>
        <v>0</v>
      </c>
      <c r="H33" s="90"/>
      <c r="I33" s="436">
        <f>I27-I29-I31</f>
        <v>0</v>
      </c>
      <c r="J33" s="90"/>
      <c r="K33" s="436">
        <f>K27-K29-K31</f>
        <v>0</v>
      </c>
      <c r="L33" s="436">
        <f>SUM(E33:K33)</f>
        <v>0</v>
      </c>
      <c r="N33" s="436">
        <f>N27-N29-N31</f>
        <v>0</v>
      </c>
      <c r="O33" s="46"/>
      <c r="P33" s="436">
        <f>P27-P29-P31</f>
        <v>0</v>
      </c>
      <c r="Q33" s="46"/>
      <c r="R33" s="436">
        <f>R27-R29-R31</f>
        <v>0</v>
      </c>
      <c r="S33" s="90"/>
      <c r="T33" s="436">
        <f>-'Change in Proportion - LEAs'!D59</f>
        <v>0</v>
      </c>
      <c r="U33" s="90"/>
      <c r="V33" s="436">
        <f>V27-V29-V31</f>
        <v>0</v>
      </c>
      <c r="W33" s="46"/>
      <c r="X33" s="436">
        <f>SUM(N33:V33)</f>
        <v>0</v>
      </c>
      <c r="Z33" s="436">
        <f>Z27-Z29-Z31</f>
        <v>0</v>
      </c>
      <c r="AA33" s="46"/>
      <c r="AB33" s="436">
        <f>'Change in Proportion - LEAs'!C43</f>
        <v>0</v>
      </c>
      <c r="AC33" s="90"/>
      <c r="AD33" s="436">
        <f>AD27-AD29-AD31</f>
        <v>0</v>
      </c>
      <c r="AE33" s="46"/>
      <c r="AF33" s="436">
        <f>AF27-AF29-AF31</f>
        <v>0</v>
      </c>
      <c r="AG33" s="230"/>
    </row>
    <row r="34" spans="2:33" ht="7.5" customHeight="1" thickTop="1" thickBot="1" x14ac:dyDescent="0.25">
      <c r="B34" s="199"/>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192"/>
    </row>
    <row r="35" spans="2:33" ht="15" customHeight="1" x14ac:dyDescent="0.2"/>
    <row r="36" spans="2:33" ht="15" customHeight="1" x14ac:dyDescent="0.2">
      <c r="B36" s="23" t="s">
        <v>67</v>
      </c>
      <c r="C36" s="90">
        <f>SUM(C29:C33)-C27</f>
        <v>0</v>
      </c>
      <c r="E36" s="90">
        <f>(E27-E29-E33)-(T27-T29-T33)</f>
        <v>0</v>
      </c>
      <c r="G36" s="90">
        <f>SUM(G29:G33)-G27</f>
        <v>0</v>
      </c>
      <c r="I36" s="90">
        <f>SUM(I29:I33)-I27</f>
        <v>0</v>
      </c>
      <c r="J36" s="90"/>
      <c r="K36" s="90">
        <f>SUM(K29:K33)-K27</f>
        <v>0</v>
      </c>
      <c r="L36" s="90">
        <f>(L27-L29-L33)-(X27-X29-X33)</f>
        <v>0</v>
      </c>
      <c r="N36" s="90">
        <f>SUM(N29:N33)-N27</f>
        <v>0</v>
      </c>
      <c r="P36" s="90">
        <f>SUM(P29:P33)-P27</f>
        <v>0</v>
      </c>
      <c r="R36" s="90">
        <f>SUM(R29:R33)-R27</f>
        <v>0</v>
      </c>
      <c r="S36" s="90"/>
      <c r="T36" s="90">
        <f>(E27-E29-E31-E33)-(T27-T29-T33)</f>
        <v>0</v>
      </c>
      <c r="U36" s="90"/>
      <c r="V36" s="90">
        <f>SUM(V29:V33)-V27</f>
        <v>0</v>
      </c>
      <c r="W36" s="90"/>
      <c r="X36" s="90">
        <f>(L27-L29-L33)-(X27-X29-X33)</f>
        <v>0</v>
      </c>
      <c r="Z36" s="90">
        <f>SUM(Z29:Z33)-Z27</f>
        <v>0</v>
      </c>
      <c r="AB36" s="90">
        <f>SUM(AB29:AB33)-AB27</f>
        <v>0</v>
      </c>
      <c r="AC36" s="90"/>
      <c r="AD36" s="90"/>
      <c r="AF36" s="90">
        <f>SUM(AF29:AF33)-AF27</f>
        <v>0</v>
      </c>
    </row>
    <row r="37" spans="2:33" ht="15" customHeight="1" x14ac:dyDescent="0.2">
      <c r="K37" s="27"/>
    </row>
    <row r="38" spans="2:33" ht="15" customHeight="1" x14ac:dyDescent="0.2">
      <c r="B38" s="23" t="s">
        <v>400</v>
      </c>
      <c r="C38" s="30">
        <v>0</v>
      </c>
      <c r="D38" s="30"/>
      <c r="E38" s="30">
        <f>'Change in Proportion - LEAs'!$AC$90+'Change in Proportion - MCVCs'!$AC$88</f>
        <v>0</v>
      </c>
      <c r="F38" s="30"/>
      <c r="G38" s="30"/>
      <c r="H38" s="30"/>
      <c r="J38" s="30"/>
      <c r="K38" s="30">
        <v>0</v>
      </c>
      <c r="L38" s="30">
        <f>SUM(E38:K38)</f>
        <v>0</v>
      </c>
      <c r="M38" s="30"/>
      <c r="N38" s="30">
        <v>0</v>
      </c>
      <c r="O38" s="30"/>
      <c r="P38" s="30">
        <v>0</v>
      </c>
      <c r="Q38" s="30"/>
      <c r="R38" s="30">
        <v>0</v>
      </c>
      <c r="S38" s="30"/>
      <c r="T38" s="30">
        <f>'Change in Proportion - LEAs'!$AC$90+'Change in Proportion - MCVCs'!$AC$88</f>
        <v>0</v>
      </c>
      <c r="U38" s="30"/>
      <c r="V38" s="30"/>
      <c r="W38" s="30"/>
      <c r="X38" s="30">
        <f>SUM(N38:T38)</f>
        <v>0</v>
      </c>
      <c r="Y38" s="30"/>
      <c r="Z38" s="30">
        <v>0</v>
      </c>
      <c r="AA38" s="30"/>
      <c r="AB38" s="30"/>
      <c r="AC38" s="30"/>
      <c r="AD38" s="30"/>
      <c r="AE38" s="30"/>
      <c r="AF38" s="30"/>
    </row>
    <row r="39" spans="2:33" ht="15" customHeight="1" thickBot="1" x14ac:dyDescent="0.25">
      <c r="K39" s="27"/>
    </row>
    <row r="40" spans="2:33" ht="15" customHeight="1" thickBot="1" x14ac:dyDescent="0.25">
      <c r="B40" s="437" t="s">
        <v>401</v>
      </c>
      <c r="C40" s="438">
        <f>SUM(C36:C38)</f>
        <v>0</v>
      </c>
      <c r="D40" s="439"/>
      <c r="E40" s="438">
        <f>SUM(E36:E38)</f>
        <v>0</v>
      </c>
      <c r="F40" s="439"/>
      <c r="G40" s="438">
        <f>SUM(G36:G38)</f>
        <v>0</v>
      </c>
      <c r="H40" s="439"/>
      <c r="I40" s="438">
        <f>SUM(I36:I38)</f>
        <v>0</v>
      </c>
      <c r="J40" s="439"/>
      <c r="K40" s="438">
        <f>SUM(K36:K38)</f>
        <v>0</v>
      </c>
      <c r="L40" s="438">
        <f>SUM(L36:L38)</f>
        <v>0</v>
      </c>
      <c r="M40" s="439"/>
      <c r="N40" s="438">
        <f>SUM(N36:N38)</f>
        <v>0</v>
      </c>
      <c r="O40" s="439"/>
      <c r="P40" s="438">
        <f>SUM(P36:P38)</f>
        <v>0</v>
      </c>
      <c r="Q40" s="439"/>
      <c r="R40" s="438">
        <f>SUM(R36:R38)</f>
        <v>0</v>
      </c>
      <c r="S40" s="439"/>
      <c r="T40" s="438">
        <f>SUM(T36:T38)</f>
        <v>0</v>
      </c>
      <c r="U40" s="438"/>
      <c r="V40" s="438">
        <f>SUM(V36:V38)</f>
        <v>0</v>
      </c>
      <c r="W40" s="439"/>
      <c r="X40" s="438">
        <f>SUM(X36:X38)</f>
        <v>0</v>
      </c>
      <c r="Y40" s="439"/>
      <c r="Z40" s="438">
        <f>SUM(Z36:Z38)</f>
        <v>0</v>
      </c>
      <c r="AA40" s="439"/>
      <c r="AB40" s="438">
        <f>SUM(AB36:AB38)</f>
        <v>0</v>
      </c>
      <c r="AC40" s="438"/>
      <c r="AD40" s="438">
        <f>SUM(AD36:AD38)</f>
        <v>0</v>
      </c>
      <c r="AE40" s="439"/>
      <c r="AF40" s="440">
        <f>SUM(AF36:AF38)</f>
        <v>0</v>
      </c>
    </row>
    <row r="41" spans="2:33" ht="15" customHeight="1" x14ac:dyDescent="0.2">
      <c r="K41" s="27"/>
    </row>
    <row r="42" spans="2:33" ht="15" customHeight="1" x14ac:dyDescent="0.2">
      <c r="K42" s="27"/>
    </row>
    <row r="43" spans="2:33" ht="15" customHeight="1" x14ac:dyDescent="0.2">
      <c r="R43" s="90"/>
      <c r="S43" s="90"/>
      <c r="T43" s="90"/>
      <c r="U43" s="90"/>
      <c r="V43" s="90"/>
    </row>
    <row r="44" spans="2:33" ht="15" customHeight="1" x14ac:dyDescent="0.2">
      <c r="E44" s="90"/>
      <c r="F44" s="90"/>
      <c r="G44" s="90"/>
      <c r="H44" s="90"/>
      <c r="I44" s="90"/>
      <c r="J44" s="90"/>
      <c r="N44" s="90"/>
    </row>
    <row r="45" spans="2:33" ht="3.75" customHeight="1" thickBot="1" x14ac:dyDescent="0.25"/>
    <row r="46" spans="2:33" ht="15" customHeight="1" x14ac:dyDescent="0.2">
      <c r="B46" s="96"/>
      <c r="C46" s="75"/>
      <c r="D46" s="75"/>
      <c r="E46" s="640" t="s">
        <v>264</v>
      </c>
      <c r="F46" s="75"/>
      <c r="G46" s="640" t="s">
        <v>233</v>
      </c>
      <c r="H46" s="75"/>
      <c r="I46" s="75"/>
      <c r="J46" s="75"/>
      <c r="K46" s="75"/>
      <c r="L46" s="654" t="s">
        <v>265</v>
      </c>
    </row>
    <row r="47" spans="2:33" ht="15.75" x14ac:dyDescent="0.25">
      <c r="B47" s="79"/>
      <c r="E47" s="641"/>
      <c r="G47" s="641"/>
      <c r="L47" s="655"/>
      <c r="AA47" s="175"/>
    </row>
    <row r="48" spans="2:33" ht="15.75" x14ac:dyDescent="0.25">
      <c r="B48" s="79"/>
      <c r="E48" s="641"/>
      <c r="G48" s="641"/>
      <c r="L48" s="655"/>
      <c r="AA48" s="175"/>
    </row>
    <row r="49" spans="2:33" ht="15.75" x14ac:dyDescent="0.25">
      <c r="B49" s="79"/>
      <c r="E49" s="641"/>
      <c r="G49" s="641"/>
      <c r="L49" s="655"/>
      <c r="AA49" s="175"/>
    </row>
    <row r="50" spans="2:33" ht="15.75" x14ac:dyDescent="0.25">
      <c r="B50" s="79"/>
      <c r="E50" s="641"/>
      <c r="G50" s="641"/>
      <c r="L50" s="655"/>
      <c r="AA50" s="175"/>
    </row>
    <row r="51" spans="2:33" ht="15.75" x14ac:dyDescent="0.25">
      <c r="B51" s="79"/>
      <c r="E51" s="641"/>
      <c r="G51" s="641"/>
      <c r="L51" s="655"/>
      <c r="AA51" s="175"/>
    </row>
    <row r="52" spans="2:33" ht="15.75" x14ac:dyDescent="0.25">
      <c r="B52" s="79"/>
      <c r="L52" s="77"/>
      <c r="AA52" s="175"/>
    </row>
    <row r="53" spans="2:33" ht="15.75" x14ac:dyDescent="0.25">
      <c r="B53" s="222" t="s">
        <v>568</v>
      </c>
      <c r="L53" s="77"/>
    </row>
    <row r="54" spans="2:33" x14ac:dyDescent="0.2">
      <c r="B54" s="202" t="s">
        <v>17</v>
      </c>
      <c r="E54" s="47">
        <f>'GASB 75 Sch Input PY '!B33</f>
        <v>0</v>
      </c>
      <c r="G54" s="47">
        <f>'MCVC Proportion'!G16</f>
        <v>0</v>
      </c>
      <c r="L54" s="228">
        <f>E54-G54</f>
        <v>0</v>
      </c>
    </row>
    <row r="55" spans="2:33" ht="15.75" x14ac:dyDescent="0.2">
      <c r="B55" s="202" t="s">
        <v>18</v>
      </c>
      <c r="E55" s="232">
        <f>'GASB 75 Sch Input PY '!F33</f>
        <v>0</v>
      </c>
      <c r="G55" s="232">
        <f>'MCVC Proportion'!G20</f>
        <v>0</v>
      </c>
      <c r="L55" s="234">
        <f>E55-G55</f>
        <v>0</v>
      </c>
      <c r="O55" s="454"/>
      <c r="S55" s="454"/>
      <c r="W55" s="46"/>
      <c r="Y55" s="46"/>
      <c r="AA55" s="47"/>
      <c r="AE55" s="46"/>
    </row>
    <row r="56" spans="2:33" ht="16.5" thickBot="1" x14ac:dyDescent="0.25">
      <c r="B56" s="223" t="s">
        <v>19</v>
      </c>
      <c r="C56" s="45"/>
      <c r="D56" s="45"/>
      <c r="E56" s="233">
        <f>'GASB 75 Sch Input PY '!B15</f>
        <v>0</v>
      </c>
      <c r="F56" s="45"/>
      <c r="G56" s="233">
        <f>'GASB 75 Sch Input PY '!B21*'Net LEA Amounts'!G55</f>
        <v>0</v>
      </c>
      <c r="H56" s="45"/>
      <c r="I56" s="45"/>
      <c r="J56" s="45"/>
      <c r="K56" s="45"/>
      <c r="L56" s="235">
        <f>E56-G56</f>
        <v>0</v>
      </c>
      <c r="W56" s="46"/>
      <c r="Y56" s="46"/>
      <c r="AA56" s="131"/>
      <c r="AE56" s="46"/>
    </row>
    <row r="57" spans="2:33" ht="3.75" customHeight="1" x14ac:dyDescent="0.2">
      <c r="Y57" s="46"/>
      <c r="AA57" s="46"/>
      <c r="AE57" s="47"/>
      <c r="AG57" s="46"/>
    </row>
    <row r="59" spans="2:33" x14ac:dyDescent="0.2">
      <c r="L59" s="27"/>
    </row>
    <row r="64" spans="2:33" x14ac:dyDescent="0.2">
      <c r="B64" s="23"/>
      <c r="C64" s="43"/>
      <c r="D64" s="23"/>
      <c r="E64" s="23"/>
      <c r="F64" s="23"/>
      <c r="G64" s="23"/>
      <c r="H64" s="23"/>
      <c r="I64" s="23"/>
      <c r="J64" s="23"/>
      <c r="K64" s="23"/>
      <c r="L64" s="23"/>
      <c r="M64" s="23"/>
      <c r="N64" s="132"/>
      <c r="O64" s="133"/>
      <c r="P64" s="132"/>
      <c r="Q64" s="23"/>
    </row>
  </sheetData>
  <sheetProtection algorithmName="SHA-512" hashValue="nNDOtc0yC2uidb0hnCxk9gHJ3hWZ1QXxQ4YnEeGUX5cJidcq6S733XiK+4cz35+/qFZi88sBo3eH8gaqmV88xg==" saltValue="yw7OgzeGbxkMZMDNd5Jo8A==" spinCount="100000" sheet="1" objects="1" scenarios="1"/>
  <mergeCells count="12">
    <mergeCell ref="E4:E9"/>
    <mergeCell ref="G4:G9"/>
    <mergeCell ref="E46:E51"/>
    <mergeCell ref="G46:G51"/>
    <mergeCell ref="B17:AG17"/>
    <mergeCell ref="B18:AG18"/>
    <mergeCell ref="B19:AG19"/>
    <mergeCell ref="E21:L21"/>
    <mergeCell ref="N21:X21"/>
    <mergeCell ref="Z21:AF21"/>
    <mergeCell ref="L4:L9"/>
    <mergeCell ref="L46:L51"/>
  </mergeCells>
  <pageMargins left="0.7" right="0.7" top="0.75" bottom="0.75" header="0.3" footer="0.3"/>
  <pageSetup orientation="portrait" horizontalDpi="4294967295" verticalDpi="4294967295" r:id="rId1"/>
  <cellWatches>
    <cellWatch r="C36"/>
    <cellWatch r="E36"/>
    <cellWatch r="G36"/>
    <cellWatch r="I36"/>
    <cellWatch r="L36"/>
    <cellWatch r="N36"/>
    <cellWatch r="P36"/>
    <cellWatch r="R36"/>
    <cellWatch r="X36"/>
    <cellWatch r="Z36"/>
    <cellWatch r="AB36"/>
    <cellWatch r="AF36"/>
    <cellWatch r="K36"/>
    <cellWatch r="T36"/>
  </cellWatche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M68"/>
  <sheetViews>
    <sheetView workbookViewId="0">
      <selection activeCell="Q10" sqref="Q10"/>
    </sheetView>
  </sheetViews>
  <sheetFormatPr defaultColWidth="8.88671875" defaultRowHeight="15" x14ac:dyDescent="0.2"/>
  <cols>
    <col min="7" max="7" width="14.88671875" customWidth="1"/>
    <col min="8" max="8" width="15.77734375" customWidth="1"/>
    <col min="9" max="9" width="2.77734375" customWidth="1"/>
    <col min="10" max="10" width="15.77734375" hidden="1" customWidth="1"/>
    <col min="11" max="11" width="2.77734375" hidden="1" customWidth="1"/>
    <col min="12" max="12" width="15.77734375" customWidth="1"/>
    <col min="13" max="13" width="2.77734375" customWidth="1"/>
  </cols>
  <sheetData>
    <row r="1" spans="1:13" ht="18" x14ac:dyDescent="0.25">
      <c r="A1" s="21" t="s">
        <v>16</v>
      </c>
    </row>
    <row r="2" spans="1:13" ht="18" x14ac:dyDescent="0.25">
      <c r="A2" s="21" t="str">
        <f>'Net LEA Amounts'!L2</f>
        <v>Password for protected sheet: BOE2025</v>
      </c>
    </row>
    <row r="6" spans="1:13" ht="21" x14ac:dyDescent="0.35">
      <c r="A6" s="659" t="s">
        <v>339</v>
      </c>
      <c r="B6" s="659"/>
      <c r="C6" s="659"/>
      <c r="D6" s="659"/>
      <c r="E6" s="659"/>
      <c r="F6" s="659"/>
      <c r="G6" s="659"/>
      <c r="H6" s="659"/>
      <c r="I6" s="659"/>
      <c r="J6" s="659"/>
      <c r="K6" s="659"/>
      <c r="L6" s="659"/>
      <c r="M6" s="659"/>
    </row>
    <row r="7" spans="1:13" x14ac:dyDescent="0.2">
      <c r="B7" s="656" t="s">
        <v>340</v>
      </c>
      <c r="C7" s="657"/>
      <c r="D7" s="657"/>
      <c r="E7" s="657"/>
      <c r="F7" s="657"/>
      <c r="G7" s="657"/>
      <c r="H7" s="657"/>
      <c r="I7" s="657"/>
      <c r="J7" s="657"/>
    </row>
    <row r="8" spans="1:13" x14ac:dyDescent="0.2">
      <c r="B8" s="657"/>
      <c r="C8" s="657"/>
      <c r="D8" s="657"/>
      <c r="E8" s="657"/>
      <c r="F8" s="657"/>
      <c r="G8" s="657"/>
      <c r="H8" s="657"/>
      <c r="I8" s="657"/>
      <c r="J8" s="657"/>
    </row>
    <row r="9" spans="1:13" x14ac:dyDescent="0.2">
      <c r="B9" s="657"/>
      <c r="C9" s="657"/>
      <c r="D9" s="657"/>
      <c r="E9" s="657"/>
      <c r="F9" s="657"/>
      <c r="G9" s="657"/>
      <c r="H9" s="657"/>
      <c r="I9" s="657"/>
      <c r="J9" s="657"/>
    </row>
    <row r="10" spans="1:13" x14ac:dyDescent="0.2">
      <c r="B10" s="657"/>
      <c r="C10" s="657"/>
      <c r="D10" s="657"/>
      <c r="E10" s="657"/>
      <c r="F10" s="657"/>
      <c r="G10" s="657"/>
      <c r="H10" s="657"/>
      <c r="I10" s="657"/>
      <c r="J10" s="657"/>
    </row>
    <row r="11" spans="1:13" ht="15.75" x14ac:dyDescent="0.25">
      <c r="C11" s="23"/>
      <c r="H11" s="29"/>
    </row>
    <row r="12" spans="1:13" ht="15.75" x14ac:dyDescent="0.25">
      <c r="C12" s="23"/>
      <c r="H12" s="29"/>
    </row>
    <row r="13" spans="1:13" ht="15.75" x14ac:dyDescent="0.25">
      <c r="H13" s="658" t="s">
        <v>676</v>
      </c>
      <c r="I13" s="658"/>
      <c r="J13" s="658"/>
      <c r="K13" s="658"/>
      <c r="L13" s="658"/>
    </row>
    <row r="14" spans="1:13" ht="15.75" x14ac:dyDescent="0.25">
      <c r="H14" s="236" t="s">
        <v>173</v>
      </c>
      <c r="J14" s="387" t="s">
        <v>174</v>
      </c>
      <c r="L14" s="236" t="s">
        <v>175</v>
      </c>
    </row>
    <row r="15" spans="1:13" ht="15.75" x14ac:dyDescent="0.25">
      <c r="A15" s="22" t="s">
        <v>62</v>
      </c>
      <c r="H15" s="200"/>
      <c r="J15" s="237"/>
    </row>
    <row r="16" spans="1:13" x14ac:dyDescent="0.2">
      <c r="H16" s="200"/>
      <c r="J16" s="237"/>
    </row>
    <row r="17" spans="1:13" x14ac:dyDescent="0.2">
      <c r="A17" t="s">
        <v>57</v>
      </c>
      <c r="H17" s="30">
        <f>'GASB 75 Sch Input CY'!B39</f>
        <v>39551500</v>
      </c>
      <c r="J17" s="66"/>
      <c r="L17" s="26">
        <f>'GASB 75 Sch Input CY'!B39</f>
        <v>39551500</v>
      </c>
    </row>
    <row r="18" spans="1:13" x14ac:dyDescent="0.2">
      <c r="A18" t="s">
        <v>58</v>
      </c>
      <c r="B18" s="23" t="s">
        <v>321</v>
      </c>
      <c r="H18" s="30">
        <f>-ROUND('GASB 75 Sch Input CY'!B35,0)</f>
        <v>-30000000</v>
      </c>
      <c r="J18" s="66"/>
      <c r="L18" s="26">
        <f>-ROUND('GASB 75 Sch Input CY'!B35,0)</f>
        <v>-30000000</v>
      </c>
    </row>
    <row r="19" spans="1:13" x14ac:dyDescent="0.2">
      <c r="B19" s="23" t="s">
        <v>318</v>
      </c>
      <c r="H19" s="30">
        <f>-ROUND('GASB 75 Sch Input CY'!B36,0)</f>
        <v>0</v>
      </c>
      <c r="J19" s="67"/>
      <c r="L19" s="26">
        <f>-ROUND('GASB 75 Sch Input CY'!B36,0)</f>
        <v>0</v>
      </c>
    </row>
    <row r="20" spans="1:13" x14ac:dyDescent="0.2">
      <c r="B20" t="s">
        <v>59</v>
      </c>
      <c r="H20" s="30">
        <f>-ROUND('GASB 75 Sch Input CY'!B37,0)</f>
        <v>0</v>
      </c>
      <c r="J20" s="66"/>
      <c r="L20" s="26">
        <f>-ROUND('GASB 75 Sch Input CY'!B37,0)</f>
        <v>0</v>
      </c>
    </row>
    <row r="21" spans="1:13" x14ac:dyDescent="0.2">
      <c r="B21" t="s">
        <v>63</v>
      </c>
      <c r="H21" s="30">
        <f>-ROUND('GASB 75 Sch Input CY'!B38,0)</f>
        <v>-7176525</v>
      </c>
      <c r="J21" s="66"/>
      <c r="L21" s="26">
        <f>-ROUND('GASB 75 Sch Input CY'!B38,0)</f>
        <v>-7176525</v>
      </c>
    </row>
    <row r="22" spans="1:13" x14ac:dyDescent="0.2">
      <c r="A22" t="s">
        <v>64</v>
      </c>
      <c r="H22" s="238">
        <f>SUM(H17:H21)</f>
        <v>2374975</v>
      </c>
      <c r="J22" s="66"/>
      <c r="L22" s="238">
        <f>SUM(L17:L21)</f>
        <v>2374975</v>
      </c>
    </row>
    <row r="23" spans="1:13" x14ac:dyDescent="0.2">
      <c r="H23" s="200"/>
      <c r="J23" s="68"/>
    </row>
    <row r="24" spans="1:13" x14ac:dyDescent="0.2">
      <c r="A24" s="23" t="s">
        <v>195</v>
      </c>
      <c r="H24" s="239">
        <f>'Net LEA Amounts'!L12</f>
        <v>0</v>
      </c>
      <c r="J24" s="66"/>
      <c r="L24" s="239">
        <f>'Net LEA Amounts'!G12</f>
        <v>0</v>
      </c>
    </row>
    <row r="25" spans="1:13" ht="15.75" x14ac:dyDescent="0.25">
      <c r="A25" s="23" t="s">
        <v>193</v>
      </c>
      <c r="H25" s="240">
        <f>IF((H22=0),0,H24/H22)</f>
        <v>0</v>
      </c>
      <c r="I25" s="25" t="s">
        <v>83</v>
      </c>
      <c r="J25" s="69"/>
      <c r="K25" s="241"/>
      <c r="L25" s="240">
        <f>IF((L22=0),0,L24/L22)</f>
        <v>0</v>
      </c>
      <c r="M25" s="134" t="s">
        <v>197</v>
      </c>
    </row>
    <row r="26" spans="1:13" x14ac:dyDescent="0.2">
      <c r="A26" s="23" t="s">
        <v>307</v>
      </c>
      <c r="H26" s="239">
        <f>'GASB 75 Sch Input CY'!AF19</f>
        <v>-14681626</v>
      </c>
      <c r="J26" s="66"/>
      <c r="L26" s="239">
        <f>'GASB 75 Sch Input CY'!AF19</f>
        <v>-14681626</v>
      </c>
    </row>
    <row r="27" spans="1:13" x14ac:dyDescent="0.2">
      <c r="A27" s="23" t="s">
        <v>194</v>
      </c>
      <c r="H27" s="238">
        <f>H26*H25</f>
        <v>0</v>
      </c>
      <c r="J27" s="66">
        <v>0</v>
      </c>
      <c r="L27" s="238">
        <f>L26*L25</f>
        <v>0</v>
      </c>
    </row>
    <row r="28" spans="1:13" ht="15.75" x14ac:dyDescent="0.25">
      <c r="H28" s="29"/>
    </row>
    <row r="29" spans="1:13" ht="15.75" x14ac:dyDescent="0.25">
      <c r="H29" s="29"/>
    </row>
    <row r="30" spans="1:13" ht="15.75" x14ac:dyDescent="0.25">
      <c r="A30" s="22" t="s">
        <v>55</v>
      </c>
      <c r="H30" s="200"/>
    </row>
    <row r="31" spans="1:13" x14ac:dyDescent="0.2">
      <c r="A31" t="s">
        <v>56</v>
      </c>
      <c r="H31" s="200"/>
    </row>
    <row r="32" spans="1:13" x14ac:dyDescent="0.2">
      <c r="H32" s="200"/>
    </row>
    <row r="33" spans="1:13" x14ac:dyDescent="0.2">
      <c r="A33" t="s">
        <v>57</v>
      </c>
      <c r="H33" s="30">
        <f>'GASB 75 Sch Input CY'!B39</f>
        <v>39551500</v>
      </c>
      <c r="I33" s="30"/>
      <c r="J33" s="375">
        <f>'GASB 75 Sch Input CY'!B39</f>
        <v>39551500</v>
      </c>
      <c r="K33" s="30"/>
      <c r="L33" s="30">
        <f>'GASB 75 Sch Input CY'!B39</f>
        <v>39551500</v>
      </c>
    </row>
    <row r="34" spans="1:13" x14ac:dyDescent="0.2">
      <c r="A34" t="s">
        <v>58</v>
      </c>
      <c r="B34" s="23" t="s">
        <v>321</v>
      </c>
      <c r="H34" s="30">
        <f>-'GASB 75 Sch Input CY'!B35</f>
        <v>-30000000</v>
      </c>
      <c r="J34" s="376">
        <f>-'GASB 75 Sch Input CY'!B35</f>
        <v>-30000000</v>
      </c>
      <c r="L34" s="26">
        <f>-'GASB 75 Sch Input CY'!B35</f>
        <v>-30000000</v>
      </c>
    </row>
    <row r="35" spans="1:13" x14ac:dyDescent="0.2">
      <c r="B35" s="23" t="s">
        <v>318</v>
      </c>
      <c r="H35" s="30">
        <f>-'GASB 75 Sch Input CY'!B36</f>
        <v>0</v>
      </c>
      <c r="J35" s="376">
        <f>-'GASB 75 Sch Input CY'!B36</f>
        <v>0</v>
      </c>
      <c r="L35" s="26">
        <f>-'GASB 75 Sch Input CY'!B36</f>
        <v>0</v>
      </c>
    </row>
    <row r="36" spans="1:13" x14ac:dyDescent="0.2">
      <c r="A36" t="s">
        <v>60</v>
      </c>
      <c r="H36" s="238">
        <f>SUM(H33:H35)</f>
        <v>9551500</v>
      </c>
      <c r="J36" s="377">
        <f>SUM(J33:J35)</f>
        <v>9551500</v>
      </c>
      <c r="L36" s="238">
        <f>SUM(L33:L35)</f>
        <v>9551500</v>
      </c>
    </row>
    <row r="37" spans="1:13" x14ac:dyDescent="0.2">
      <c r="H37" s="200"/>
      <c r="J37" s="378"/>
    </row>
    <row r="38" spans="1:13" x14ac:dyDescent="0.2">
      <c r="A38" s="23" t="s">
        <v>195</v>
      </c>
      <c r="H38" s="193">
        <f>'Net LEA Amounts'!L12</f>
        <v>0</v>
      </c>
      <c r="J38" s="376" t="e">
        <f>'Net LEA Amounts'!#REF!</f>
        <v>#REF!</v>
      </c>
      <c r="L38" s="193">
        <f>'Net LEA Amounts'!G12</f>
        <v>0</v>
      </c>
    </row>
    <row r="39" spans="1:13" x14ac:dyDescent="0.2">
      <c r="A39" s="23" t="s">
        <v>196</v>
      </c>
      <c r="H39" s="239">
        <f>ROUND((-H20*H25),0)</f>
        <v>0</v>
      </c>
      <c r="J39" s="379">
        <f>ROUND((-J20*J25),0)</f>
        <v>0</v>
      </c>
      <c r="L39" s="239">
        <f>ROUND((-L20*L25),0)</f>
        <v>0</v>
      </c>
    </row>
    <row r="40" spans="1:13" x14ac:dyDescent="0.2">
      <c r="B40" s="23" t="s">
        <v>82</v>
      </c>
      <c r="H40" s="242">
        <f>SUM(H38:H39)</f>
        <v>0</v>
      </c>
      <c r="J40" s="380" t="e">
        <f>SUM(J38:J39)</f>
        <v>#REF!</v>
      </c>
      <c r="L40" s="242">
        <f>SUM(L38:L39)</f>
        <v>0</v>
      </c>
    </row>
    <row r="41" spans="1:13" ht="15.75" x14ac:dyDescent="0.25">
      <c r="A41" s="23" t="s">
        <v>193</v>
      </c>
      <c r="H41" s="240">
        <f>IF((H36=0),0,H40/H36)</f>
        <v>0</v>
      </c>
      <c r="I41" s="25" t="s">
        <v>84</v>
      </c>
      <c r="J41" s="381" t="e">
        <f>IF((J36=0),0,J40/J36)</f>
        <v>#REF!</v>
      </c>
      <c r="K41" s="241" t="s">
        <v>199</v>
      </c>
      <c r="L41" s="240">
        <f>IF((L36=0),0,L40/L36)</f>
        <v>0</v>
      </c>
      <c r="M41" s="134" t="s">
        <v>198</v>
      </c>
    </row>
    <row r="42" spans="1:13" x14ac:dyDescent="0.2">
      <c r="A42" s="23" t="s">
        <v>322</v>
      </c>
      <c r="H42" s="193">
        <f>'GASB 75 Sch Input CY'!AF17</f>
        <v>28537385</v>
      </c>
      <c r="J42" s="376">
        <f>'GASB 75 Sch Input CY'!AF17</f>
        <v>28537385</v>
      </c>
      <c r="L42" s="193">
        <f>'GASB 75 Sch Input CY'!AF17</f>
        <v>28537385</v>
      </c>
    </row>
    <row r="43" spans="1:13" x14ac:dyDescent="0.2">
      <c r="A43" t="s">
        <v>319</v>
      </c>
      <c r="H43" s="239">
        <f>'GASB 75 Sch Input CY'!AF18</f>
        <v>-11514044</v>
      </c>
      <c r="J43" s="379">
        <f>'GASB 75 Sch Input CY'!AF18</f>
        <v>-11514044</v>
      </c>
      <c r="L43" s="239">
        <f>'GASB 75 Sch Input CY'!AF18</f>
        <v>-11514044</v>
      </c>
    </row>
    <row r="44" spans="1:13" x14ac:dyDescent="0.2">
      <c r="A44" s="23" t="s">
        <v>347</v>
      </c>
      <c r="H44" s="239">
        <f>H42+H43</f>
        <v>17023341</v>
      </c>
      <c r="J44" s="376">
        <f>J42+J43</f>
        <v>17023341</v>
      </c>
      <c r="L44" s="193">
        <f>L42+L43</f>
        <v>17023341</v>
      </c>
    </row>
    <row r="45" spans="1:13" x14ac:dyDescent="0.2">
      <c r="A45" s="23" t="s">
        <v>320</v>
      </c>
      <c r="H45" s="242">
        <f>H44*H41</f>
        <v>0</v>
      </c>
      <c r="J45" s="380" t="e">
        <f>J44*J41</f>
        <v>#REF!</v>
      </c>
      <c r="L45" s="242">
        <f>L44*L41</f>
        <v>0</v>
      </c>
    </row>
    <row r="46" spans="1:13" ht="16.5" thickBot="1" x14ac:dyDescent="0.3">
      <c r="B46" s="23" t="s">
        <v>308</v>
      </c>
      <c r="H46" s="243">
        <f>H27+H45</f>
        <v>0</v>
      </c>
      <c r="I46" s="244"/>
      <c r="J46" s="382" t="e">
        <f>J27+J45</f>
        <v>#REF!</v>
      </c>
      <c r="L46" s="243">
        <f>L27+L45</f>
        <v>0</v>
      </c>
    </row>
    <row r="47" spans="1:13" ht="15.75" thickTop="1" x14ac:dyDescent="0.2">
      <c r="B47" s="23"/>
      <c r="H47" s="245" t="s">
        <v>372</v>
      </c>
      <c r="I47" s="23"/>
      <c r="J47" s="383" t="s">
        <v>372</v>
      </c>
      <c r="L47" s="245" t="s">
        <v>372</v>
      </c>
    </row>
    <row r="50" spans="1:13" ht="21" x14ac:dyDescent="0.35">
      <c r="A50" s="659" t="s">
        <v>65</v>
      </c>
      <c r="B50" s="659"/>
      <c r="C50" s="659"/>
      <c r="D50" s="659"/>
      <c r="E50" s="659"/>
      <c r="F50" s="659"/>
      <c r="G50" s="659"/>
      <c r="H50" s="659"/>
      <c r="I50" s="659"/>
      <c r="J50" s="659"/>
      <c r="K50" s="659"/>
      <c r="L50" s="659"/>
    </row>
    <row r="51" spans="1:13" x14ac:dyDescent="0.2">
      <c r="B51" s="31"/>
      <c r="C51" s="32"/>
      <c r="D51" s="32"/>
      <c r="E51" s="32"/>
      <c r="F51" s="32"/>
      <c r="G51" s="32"/>
      <c r="H51" s="32"/>
      <c r="I51" s="32"/>
      <c r="J51" s="32"/>
    </row>
    <row r="52" spans="1:13" x14ac:dyDescent="0.2">
      <c r="B52" s="31"/>
      <c r="C52" s="32"/>
      <c r="D52" s="32"/>
      <c r="E52" s="32"/>
      <c r="F52" s="32"/>
      <c r="G52" s="32"/>
      <c r="H52" s="32"/>
      <c r="I52" s="32"/>
      <c r="J52" s="32"/>
    </row>
    <row r="53" spans="1:13" ht="15.75" x14ac:dyDescent="0.25">
      <c r="A53" s="22" t="s">
        <v>309</v>
      </c>
      <c r="H53" s="200"/>
      <c r="J53" s="237"/>
    </row>
    <row r="54" spans="1:13" x14ac:dyDescent="0.2">
      <c r="H54" s="200"/>
      <c r="J54" s="237"/>
    </row>
    <row r="55" spans="1:13" ht="15.75" x14ac:dyDescent="0.25">
      <c r="A55" s="23" t="s">
        <v>341</v>
      </c>
      <c r="H55" s="240">
        <f>H25</f>
        <v>0</v>
      </c>
      <c r="I55" s="25" t="s">
        <v>83</v>
      </c>
      <c r="J55" s="70"/>
      <c r="K55" s="241"/>
      <c r="L55" s="240">
        <f>L25</f>
        <v>0</v>
      </c>
      <c r="M55" s="134" t="s">
        <v>197</v>
      </c>
    </row>
    <row r="56" spans="1:13" x14ac:dyDescent="0.2">
      <c r="A56" s="23" t="s">
        <v>310</v>
      </c>
      <c r="H56" s="239">
        <f>'GASB 75 Sch Input CY'!B19</f>
        <v>0</v>
      </c>
      <c r="J56" s="66"/>
      <c r="L56" s="26">
        <f>'GASB 75 Sch Input CY'!B19</f>
        <v>0</v>
      </c>
    </row>
    <row r="57" spans="1:13" x14ac:dyDescent="0.2">
      <c r="A57" s="23" t="s">
        <v>311</v>
      </c>
      <c r="H57" s="246">
        <f>ROUND(H56*H55,0)</f>
        <v>0</v>
      </c>
      <c r="J57" s="66"/>
      <c r="L57" s="246">
        <f>ROUND(L56*L55,0)</f>
        <v>0</v>
      </c>
    </row>
    <row r="58" spans="1:13" x14ac:dyDescent="0.2">
      <c r="B58" s="31"/>
      <c r="C58" s="32"/>
      <c r="D58" s="32"/>
      <c r="E58" s="32"/>
      <c r="F58" s="32"/>
      <c r="G58" s="32"/>
      <c r="H58" s="32"/>
      <c r="I58" s="32"/>
      <c r="J58" s="32"/>
    </row>
    <row r="59" spans="1:13" ht="15.75" x14ac:dyDescent="0.25">
      <c r="A59" s="22" t="s">
        <v>312</v>
      </c>
      <c r="H59" s="200"/>
    </row>
    <row r="60" spans="1:13" x14ac:dyDescent="0.2">
      <c r="A60" t="s">
        <v>56</v>
      </c>
      <c r="H60" s="200"/>
    </row>
    <row r="61" spans="1:13" x14ac:dyDescent="0.2">
      <c r="H61" s="200"/>
    </row>
    <row r="62" spans="1:13" ht="15.75" x14ac:dyDescent="0.25">
      <c r="A62" t="s">
        <v>61</v>
      </c>
      <c r="H62" s="240">
        <f>H41</f>
        <v>0</v>
      </c>
      <c r="I62" s="25" t="s">
        <v>84</v>
      </c>
      <c r="J62" s="381" t="e">
        <f>J41</f>
        <v>#REF!</v>
      </c>
      <c r="K62" s="241" t="s">
        <v>199</v>
      </c>
      <c r="L62" s="240">
        <f>L41</f>
        <v>0</v>
      </c>
      <c r="M62" s="134" t="s">
        <v>198</v>
      </c>
    </row>
    <row r="63" spans="1:13" x14ac:dyDescent="0.2">
      <c r="A63" s="23" t="s">
        <v>323</v>
      </c>
      <c r="H63" s="247">
        <f>'GASB 75 Sch Input CY'!B17</f>
        <v>-31581177</v>
      </c>
      <c r="J63" s="376">
        <f>'GASB 75 Sch Input CY'!B17</f>
        <v>-31581177</v>
      </c>
      <c r="L63" s="26">
        <f>'GASB 75 Sch Input CY'!B17</f>
        <v>-31581177</v>
      </c>
    </row>
    <row r="64" spans="1:13" x14ac:dyDescent="0.2">
      <c r="A64" s="23" t="s">
        <v>324</v>
      </c>
      <c r="H64" s="248">
        <f>'GASB 75 Sch Input CY'!B18</f>
        <v>0</v>
      </c>
      <c r="J64" s="379">
        <f>'GASB 75 Sch Input CY'!B18</f>
        <v>0</v>
      </c>
      <c r="L64" s="249">
        <f>'GASB 75 Sch Input CY'!B18</f>
        <v>0</v>
      </c>
    </row>
    <row r="65" spans="1:12" x14ac:dyDescent="0.2">
      <c r="A65" s="23" t="s">
        <v>325</v>
      </c>
      <c r="H65" s="248">
        <f>H63+H64</f>
        <v>-31581177</v>
      </c>
      <c r="J65" s="384">
        <f>J63+J64</f>
        <v>-31581177</v>
      </c>
      <c r="L65" s="248">
        <f>L63+L64</f>
        <v>-31581177</v>
      </c>
    </row>
    <row r="66" spans="1:12" x14ac:dyDescent="0.2">
      <c r="A66" s="23" t="s">
        <v>326</v>
      </c>
      <c r="H66" s="242">
        <f>ROUND(H65*H62,0)</f>
        <v>0</v>
      </c>
      <c r="J66" s="380" t="e">
        <f>ROUND(J65*J62,0)</f>
        <v>#REF!</v>
      </c>
      <c r="L66" s="242">
        <f>ROUND(L65*L62,0)</f>
        <v>0</v>
      </c>
    </row>
    <row r="67" spans="1:12" ht="16.5" thickBot="1" x14ac:dyDescent="0.3">
      <c r="B67" s="23" t="s">
        <v>48</v>
      </c>
      <c r="H67" s="250">
        <f>H57+H66</f>
        <v>0</v>
      </c>
      <c r="J67" s="385" t="e">
        <f>J57+J66</f>
        <v>#REF!</v>
      </c>
      <c r="L67" s="250">
        <f>L57+L66</f>
        <v>0</v>
      </c>
    </row>
    <row r="68" spans="1:12" ht="16.5" thickTop="1" x14ac:dyDescent="0.25">
      <c r="B68" s="32"/>
      <c r="C68" s="32"/>
      <c r="D68" s="32"/>
      <c r="E68" s="32"/>
      <c r="F68" s="32"/>
      <c r="G68" s="32"/>
      <c r="H68" s="251" t="s">
        <v>66</v>
      </c>
      <c r="I68" s="32"/>
      <c r="J68" s="386" t="s">
        <v>66</v>
      </c>
      <c r="L68" s="251" t="s">
        <v>66</v>
      </c>
    </row>
  </sheetData>
  <sheetProtection algorithmName="SHA-512" hashValue="PtWMb47ryBzfSvDWC1WqpAWPfaM1PJYKezuiRQUKsf7Xu86L8wstKOMZYjfSJR+OD38nMjV4fatwsv+4yPff2Q==" saltValue="JW74jTIWo8BkNusJc4/OCA==" spinCount="100000" sheet="1" objects="1" scenarios="1"/>
  <mergeCells count="4">
    <mergeCell ref="B7:J10"/>
    <mergeCell ref="H13:L13"/>
    <mergeCell ref="A6:M6"/>
    <mergeCell ref="A50:L5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B17:G18"/>
  <sheetViews>
    <sheetView view="pageBreakPreview" zoomScale="60" zoomScaleNormal="100" workbookViewId="0">
      <selection activeCell="AI50" sqref="AI50"/>
    </sheetView>
  </sheetViews>
  <sheetFormatPr defaultColWidth="8.88671875" defaultRowHeight="15" x14ac:dyDescent="0.2"/>
  <cols>
    <col min="1" max="16384" width="8.88671875" style="34"/>
  </cols>
  <sheetData>
    <row r="17" spans="2:7" x14ac:dyDescent="0.2">
      <c r="B17" s="660" t="s">
        <v>13</v>
      </c>
      <c r="C17" s="660"/>
      <c r="D17" s="660"/>
      <c r="E17" s="660"/>
      <c r="F17" s="660"/>
      <c r="G17" s="660"/>
    </row>
    <row r="18" spans="2:7" x14ac:dyDescent="0.2">
      <c r="B18" s="660"/>
      <c r="C18" s="660"/>
      <c r="D18" s="660"/>
      <c r="E18" s="660"/>
      <c r="F18" s="660"/>
      <c r="G18" s="660"/>
    </row>
  </sheetData>
  <sheetProtection algorithmName="SHA-512" hashValue="KFIyg3rACe3AsXKRZNTI/vJ/GarCKX3Xtuy5BzuYE/2b197tzKdsHz3orY0h6nXErR9aU6rQNKL0vK2jeqPBag==" saltValue="y3askIb0Ou7X3XIEQhfbZg==" spinCount="100000" sheet="1" objects="1" scenarios="1"/>
  <mergeCells count="1">
    <mergeCell ref="B17:G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P127"/>
  <sheetViews>
    <sheetView view="pageBreakPreview" topLeftCell="A91" zoomScale="75" zoomScaleNormal="100" zoomScaleSheetLayoutView="75" workbookViewId="0">
      <selection activeCell="D102" sqref="D102"/>
    </sheetView>
  </sheetViews>
  <sheetFormatPr defaultColWidth="8.88671875" defaultRowHeight="15" x14ac:dyDescent="0.2"/>
  <cols>
    <col min="1" max="1" width="6.109375" customWidth="1"/>
    <col min="2" max="2" width="69.21875" customWidth="1"/>
    <col min="3" max="3" width="2.5546875" customWidth="1"/>
    <col min="4" max="4" width="15.21875" style="30" customWidth="1"/>
    <col min="5" max="5" width="5.109375" style="30" customWidth="1"/>
    <col min="6" max="6" width="13.88671875" style="30" customWidth="1"/>
    <col min="7" max="7" width="15.33203125" customWidth="1"/>
    <col min="8" max="8" width="12.5546875" customWidth="1"/>
    <col min="9" max="9" width="14.88671875" customWidth="1"/>
    <col min="10" max="10" width="13.33203125" customWidth="1"/>
    <col min="14" max="14" width="13.5546875" bestFit="1" customWidth="1"/>
  </cols>
  <sheetData>
    <row r="1" spans="1:14" ht="35.25" customHeight="1" x14ac:dyDescent="0.3">
      <c r="A1" s="594" t="s">
        <v>12</v>
      </c>
      <c r="B1" s="594"/>
      <c r="C1" s="594"/>
      <c r="D1" s="594"/>
      <c r="E1" s="594"/>
      <c r="F1" s="594"/>
      <c r="G1" s="594"/>
      <c r="H1" s="595" t="s">
        <v>14</v>
      </c>
      <c r="I1" s="595"/>
      <c r="J1" s="595"/>
      <c r="K1" s="595"/>
      <c r="L1" s="595"/>
    </row>
    <row r="2" spans="1:14" ht="18.75" customHeight="1" x14ac:dyDescent="0.3">
      <c r="A2" s="594" t="s">
        <v>251</v>
      </c>
      <c r="B2" s="594"/>
      <c r="C2" s="594"/>
      <c r="D2" s="594"/>
      <c r="E2" s="594"/>
      <c r="F2" s="594"/>
      <c r="G2" s="594"/>
      <c r="H2" s="595"/>
      <c r="I2" s="595"/>
      <c r="J2" s="595"/>
      <c r="K2" s="595"/>
      <c r="L2" s="595"/>
      <c r="M2" s="286"/>
    </row>
    <row r="3" spans="1:14" ht="18.75" customHeight="1" x14ac:dyDescent="0.3">
      <c r="A3" s="594" t="s">
        <v>661</v>
      </c>
      <c r="B3" s="594"/>
      <c r="C3" s="594"/>
      <c r="D3" s="594"/>
      <c r="E3" s="594"/>
      <c r="F3" s="594"/>
      <c r="G3" s="594"/>
      <c r="H3" s="296"/>
      <c r="I3" s="296"/>
      <c r="J3" s="296"/>
      <c r="K3" s="296"/>
      <c r="L3" s="296"/>
      <c r="M3" s="286"/>
    </row>
    <row r="4" spans="1:14" x14ac:dyDescent="0.2">
      <c r="A4" s="593"/>
      <c r="B4" s="593"/>
      <c r="C4" s="593"/>
      <c r="D4" s="593"/>
      <c r="E4" s="593"/>
      <c r="F4" s="593"/>
      <c r="G4" s="593"/>
      <c r="H4" s="593"/>
      <c r="J4" s="286"/>
      <c r="K4" s="286"/>
      <c r="L4" s="286"/>
      <c r="M4" s="286"/>
      <c r="N4" s="286"/>
    </row>
    <row r="5" spans="1:14" ht="18" x14ac:dyDescent="0.25">
      <c r="A5" s="285" t="s">
        <v>4</v>
      </c>
      <c r="B5" s="295"/>
      <c r="C5" s="295"/>
      <c r="D5" s="295"/>
      <c r="E5" s="295"/>
      <c r="F5" s="295"/>
      <c r="G5" s="295"/>
      <c r="H5" s="21" t="s">
        <v>16</v>
      </c>
      <c r="J5" s="286"/>
      <c r="K5" s="286"/>
      <c r="L5" s="286"/>
      <c r="M5" s="286"/>
      <c r="N5" s="286"/>
    </row>
    <row r="6" spans="1:14" ht="18.75" thickBot="1" x14ac:dyDescent="0.3">
      <c r="B6" s="285"/>
      <c r="H6" s="21" t="s">
        <v>662</v>
      </c>
      <c r="J6" s="286"/>
      <c r="K6" s="286"/>
      <c r="L6" s="286"/>
      <c r="M6" s="286"/>
      <c r="N6" s="286"/>
    </row>
    <row r="7" spans="1:14" ht="45.75" customHeight="1" thickBot="1" x14ac:dyDescent="0.4">
      <c r="A7" s="297"/>
      <c r="B7" s="297"/>
      <c r="D7" s="298" t="s">
        <v>0</v>
      </c>
      <c r="E7" s="298"/>
      <c r="F7" s="298" t="s">
        <v>1</v>
      </c>
      <c r="I7" s="139" t="s">
        <v>172</v>
      </c>
      <c r="J7" s="140" t="s">
        <v>173</v>
      </c>
    </row>
    <row r="8" spans="1:14" ht="15" customHeight="1" x14ac:dyDescent="0.2">
      <c r="A8" s="299"/>
      <c r="B8" s="299"/>
    </row>
    <row r="9" spans="1:14" ht="15.75" x14ac:dyDescent="0.25">
      <c r="B9" s="39"/>
      <c r="D9" s="40"/>
      <c r="E9"/>
      <c r="F9"/>
    </row>
    <row r="10" spans="1:14" ht="15" customHeight="1" x14ac:dyDescent="0.2">
      <c r="A10" s="300" t="s">
        <v>272</v>
      </c>
      <c r="B10" s="596" t="s">
        <v>375</v>
      </c>
      <c r="D10" s="40"/>
      <c r="E10"/>
      <c r="F10"/>
    </row>
    <row r="11" spans="1:14" ht="15" customHeight="1" x14ac:dyDescent="0.2">
      <c r="A11" s="300"/>
      <c r="B11" s="596"/>
      <c r="D11" s="40"/>
      <c r="E11"/>
      <c r="F11"/>
    </row>
    <row r="12" spans="1:14" ht="15" customHeight="1" x14ac:dyDescent="0.2">
      <c r="A12" s="300"/>
      <c r="B12" s="301"/>
      <c r="D12" s="40"/>
      <c r="E12"/>
      <c r="F12"/>
    </row>
    <row r="13" spans="1:14" ht="15" customHeight="1" x14ac:dyDescent="0.2">
      <c r="A13" s="300"/>
      <c r="B13" s="5" t="s">
        <v>10</v>
      </c>
      <c r="D13" s="40">
        <f>IF($J$7="LEA",'Summary of GASB 75 Activity'!C24,IF($J$7="RESA",'Summary of GASB 75 Activity'!E24,IF($J$7="MCVC",'Summary of GASB 75 Activity'!G24,0)))</f>
        <v>0</v>
      </c>
      <c r="E13"/>
      <c r="F13"/>
    </row>
    <row r="14" spans="1:14" ht="15" customHeight="1" x14ac:dyDescent="0.2">
      <c r="B14" s="5" t="s">
        <v>376</v>
      </c>
      <c r="D14" s="302">
        <f>IF(D13-F16-F15&lt;0,-(D13-F15-F16),0)</f>
        <v>0</v>
      </c>
      <c r="E14"/>
      <c r="H14" s="23"/>
    </row>
    <row r="15" spans="1:14" ht="15" customHeight="1" x14ac:dyDescent="0.2">
      <c r="B15" s="5" t="s">
        <v>377</v>
      </c>
      <c r="D15" s="302"/>
      <c r="E15"/>
      <c r="F15" s="30">
        <f>IF($J$7="LEA",'Summary of GASB 75 Activity'!C37,IF($J$7="RESA",'Summary of GASB 75 Activity'!E37,IF($J$7="MCVC",'Summary of GASB 75 Activity'!G37,0)))</f>
        <v>0</v>
      </c>
      <c r="H15" s="23"/>
    </row>
    <row r="16" spans="1:14" ht="15" customHeight="1" x14ac:dyDescent="0.2">
      <c r="B16" s="303" t="s">
        <v>572</v>
      </c>
      <c r="D16" s="40"/>
      <c r="E16"/>
      <c r="F16" s="30">
        <f>IF($J$7="LEA",ROUND('Summary of GASB 75 Activity'!C13,0),IF($J$7="MCVC",ROUND('Summary of GASB 75 Activity'!G13,0),IF($J$7="RESA",ROUND('Summary of GASB 75 Activity'!E13,0),0)))</f>
        <v>0</v>
      </c>
    </row>
    <row r="17" spans="1:16" ht="15" customHeight="1" x14ac:dyDescent="0.2">
      <c r="B17" s="304"/>
      <c r="D17" s="40"/>
      <c r="E17"/>
      <c r="F17" s="302"/>
    </row>
    <row r="18" spans="1:16" ht="15" customHeight="1" x14ac:dyDescent="0.2">
      <c r="B18" s="597" t="s">
        <v>379</v>
      </c>
      <c r="D18" s="40"/>
      <c r="E18"/>
      <c r="F18" s="302"/>
    </row>
    <row r="19" spans="1:16" ht="15" customHeight="1" x14ac:dyDescent="0.2">
      <c r="B19" s="597"/>
      <c r="D19" s="40"/>
      <c r="E19"/>
    </row>
    <row r="20" spans="1:16" ht="15" customHeight="1" x14ac:dyDescent="0.2">
      <c r="B20" s="597"/>
      <c r="D20" s="40"/>
      <c r="E20"/>
      <c r="F20"/>
    </row>
    <row r="21" spans="1:16" ht="15" customHeight="1" x14ac:dyDescent="0.2">
      <c r="D21" s="40"/>
      <c r="E21"/>
      <c r="F21"/>
    </row>
    <row r="22" spans="1:16" ht="15" customHeight="1" x14ac:dyDescent="0.25">
      <c r="B22" s="39"/>
      <c r="D22" s="40"/>
      <c r="E22"/>
      <c r="F22"/>
    </row>
    <row r="23" spans="1:16" ht="15" customHeight="1" x14ac:dyDescent="0.2">
      <c r="A23" s="300"/>
      <c r="B23" s="301"/>
      <c r="D23" s="40"/>
      <c r="E23"/>
      <c r="F23"/>
    </row>
    <row r="24" spans="1:16" ht="15" customHeight="1" x14ac:dyDescent="0.2">
      <c r="A24" s="300" t="s">
        <v>273</v>
      </c>
      <c r="B24" s="301" t="s">
        <v>663</v>
      </c>
      <c r="D24" s="40"/>
      <c r="E24"/>
      <c r="F24"/>
      <c r="H24" s="53" t="s">
        <v>373</v>
      </c>
    </row>
    <row r="25" spans="1:16" ht="15" customHeight="1" x14ac:dyDescent="0.2">
      <c r="A25" s="300"/>
      <c r="B25" s="305" t="s">
        <v>664</v>
      </c>
      <c r="D25" s="40"/>
      <c r="E25"/>
      <c r="F25"/>
      <c r="H25" s="53" t="s">
        <v>374</v>
      </c>
    </row>
    <row r="26" spans="1:16" ht="15" customHeight="1" x14ac:dyDescent="0.2">
      <c r="A26" s="300"/>
      <c r="B26" s="301"/>
      <c r="D26" s="40"/>
      <c r="E26"/>
      <c r="F26"/>
    </row>
    <row r="27" spans="1:16" ht="15" customHeight="1" x14ac:dyDescent="0.2">
      <c r="A27" s="300"/>
      <c r="B27" s="5" t="s">
        <v>46</v>
      </c>
      <c r="D27" s="26">
        <f>IF(J7="LEA",ROUND('OPEB Contr Input - LEA'!L68,0),IF(J7="RESA",ROUND('OPEB Contr Input - RESA'!I68,0),IF(J7="MCVC",ROUND('OPEB Contr Input - MCVC'!I68,0),0)))</f>
        <v>0</v>
      </c>
      <c r="E27"/>
      <c r="F27"/>
    </row>
    <row r="28" spans="1:16" ht="15" customHeight="1" x14ac:dyDescent="0.2">
      <c r="B28" s="5" t="s">
        <v>346</v>
      </c>
      <c r="D28" s="40">
        <f>IF(J7="LEA",ROUND('OPEB Contr Input - LEA'!L46,0)-D27,IF(J7="MCVC",ROUND('OPEB Contr Input - MCVC'!L46,0)-D27,IF(J7="RESA",ROUND('OPEB Contr Input - RESA'!L46,0)-D27,0)))</f>
        <v>0</v>
      </c>
      <c r="E28"/>
      <c r="F28"/>
      <c r="H28" s="128"/>
    </row>
    <row r="29" spans="1:16" ht="15" customHeight="1" x14ac:dyDescent="0.2">
      <c r="B29" s="304" t="s">
        <v>276</v>
      </c>
      <c r="D29" s="26"/>
      <c r="E29"/>
      <c r="F29" s="26">
        <f>IF($J$7="LEA",ROUND('OPEB Contr Input - LEA'!K51,0),IF($J$7="MCVC",ROUND('OPEB Contr Input - MCVC'!K51,0),IF($J$7="RESA",ROUND('OPEB Contr Input - RESA'!K51,0),0)))</f>
        <v>0</v>
      </c>
      <c r="H29" s="128"/>
      <c r="J29" s="142"/>
      <c r="K29" s="142"/>
      <c r="L29" s="142"/>
      <c r="M29" s="142"/>
      <c r="N29" s="142"/>
      <c r="O29" s="142"/>
      <c r="P29" s="142"/>
    </row>
    <row r="30" spans="1:16" ht="15" customHeight="1" x14ac:dyDescent="0.2">
      <c r="B30" s="304" t="s">
        <v>277</v>
      </c>
      <c r="D30" s="26"/>
      <c r="E30"/>
      <c r="F30" s="26">
        <f>IF($J$7="LEA",ROUND('OPEB Contr Input - LEA'!K52,0),IF($J$7="MCVC",ROUND('OPEB Contr Input - MCVC'!K52,0),IF($J$7="RESA",ROUND('OPEB Contr Input - RESA'!K52,0),0)))</f>
        <v>0</v>
      </c>
      <c r="H30" s="128"/>
      <c r="I30" s="142"/>
      <c r="J30" s="142"/>
      <c r="K30" s="142"/>
      <c r="L30" s="142"/>
      <c r="M30" s="142"/>
      <c r="N30" s="142"/>
      <c r="O30" s="142"/>
      <c r="P30" s="142"/>
    </row>
    <row r="31" spans="1:16" ht="15" customHeight="1" x14ac:dyDescent="0.2">
      <c r="B31" s="304" t="s">
        <v>278</v>
      </c>
      <c r="D31" s="26"/>
      <c r="E31"/>
      <c r="F31" s="26">
        <f>IF($J$7="LEA",ROUND('OPEB Contr Input - LEA'!K53,0),IF($J$7="MCVC",ROUND('OPEB Contr Input - MCVC'!K53,0),IF($J$7="RESA",ROUND('OPEB Contr Input - RESA'!K53,0),0)))</f>
        <v>0</v>
      </c>
      <c r="H31" s="128"/>
      <c r="I31" s="142"/>
      <c r="J31" s="142"/>
      <c r="K31" s="142"/>
      <c r="L31" s="142"/>
      <c r="M31" s="142"/>
      <c r="N31" s="142"/>
      <c r="O31" s="142"/>
      <c r="P31" s="142"/>
    </row>
    <row r="32" spans="1:16" ht="15" customHeight="1" x14ac:dyDescent="0.2">
      <c r="B32" s="304" t="s">
        <v>279</v>
      </c>
      <c r="D32" s="26"/>
      <c r="E32"/>
      <c r="F32" s="26">
        <f>IF($J$7="LEA",ROUND('OPEB Contr Input - LEA'!K54,0),IF($J$7="MCVC",ROUND('OPEB Contr Input - MCVC'!K54,0),IF($J$7="RESA",ROUND('OPEB Contr Input - RESA'!K54,0),0)))</f>
        <v>0</v>
      </c>
      <c r="H32" s="128"/>
      <c r="I32" s="63"/>
    </row>
    <row r="33" spans="1:14" ht="15" customHeight="1" x14ac:dyDescent="0.2">
      <c r="B33" s="304" t="s">
        <v>280</v>
      </c>
      <c r="D33" s="26"/>
      <c r="E33"/>
      <c r="F33" s="26">
        <f>IF($J$7="LEA",ROUND('OPEB Contr Input - LEA'!K55,0),IF($J$7="MCVC",ROUND('OPEB Contr Input - MCVC'!K55,0),IF($J$7="RESA",ROUND('OPEB Contr Input - RESA'!K55,0),0)))</f>
        <v>0</v>
      </c>
      <c r="H33" s="128"/>
      <c r="I33" s="63"/>
    </row>
    <row r="34" spans="1:14" ht="15" customHeight="1" x14ac:dyDescent="0.2">
      <c r="B34" s="304" t="s">
        <v>281</v>
      </c>
      <c r="D34" s="26"/>
      <c r="E34"/>
      <c r="F34" s="26">
        <f>IF($J$7="LEA",ROUND('OPEB Contr Input - LEA'!K56,0),IF($J$7="MCVC",ROUND('OPEB Contr Input - MCVC'!K56,0),IF($J$7="RESA",ROUND('OPEB Contr Input - RESA'!K56,0),0)))</f>
        <v>0</v>
      </c>
      <c r="H34" s="128"/>
      <c r="I34" s="63"/>
    </row>
    <row r="35" spans="1:14" ht="15" customHeight="1" x14ac:dyDescent="0.2">
      <c r="B35" s="304" t="s">
        <v>282</v>
      </c>
      <c r="D35" s="26"/>
      <c r="E35"/>
      <c r="F35" s="26">
        <f>IF($J$7="LEA",ROUND('OPEB Contr Input - LEA'!K57,0),IF($J$7="MCVC",ROUND('OPEB Contr Input - MCVC'!K57,0),IF($J$7="RESA",ROUND('OPEB Contr Input - RESA'!K57,0),0)))</f>
        <v>0</v>
      </c>
      <c r="H35" s="128"/>
      <c r="I35" s="63"/>
    </row>
    <row r="36" spans="1:14" ht="15" customHeight="1" x14ac:dyDescent="0.2">
      <c r="B36" s="304" t="s">
        <v>283</v>
      </c>
      <c r="D36" s="26"/>
      <c r="E36"/>
      <c r="F36" s="26">
        <f>IF($J$7="LEA",ROUND('OPEB Contr Input - LEA'!K58,0),IF($J$7="MCVC",ROUND('OPEB Contr Input - MCVC'!K58,0),IF($J$7="RESA",ROUND('OPEB Contr Input - RESA'!K58,0),0)))</f>
        <v>0</v>
      </c>
      <c r="H36" s="128"/>
      <c r="I36" s="63"/>
    </row>
    <row r="37" spans="1:14" ht="15" customHeight="1" x14ac:dyDescent="0.2">
      <c r="B37" s="304" t="s">
        <v>284</v>
      </c>
      <c r="D37" s="26"/>
      <c r="E37"/>
      <c r="F37" s="26">
        <f>IF($J$7="LEA",ROUND('OPEB Contr Input - LEA'!K59,0),IF($J$7="MCVC",ROUND('OPEB Contr Input - MCVC'!K59,0),IF($J$7="RESA",ROUND('OPEB Contr Input - RESA'!K59,0),0)))</f>
        <v>0</v>
      </c>
      <c r="H37" s="128"/>
      <c r="I37" s="63"/>
    </row>
    <row r="38" spans="1:14" ht="15" customHeight="1" x14ac:dyDescent="0.2">
      <c r="B38" s="304" t="s">
        <v>285</v>
      </c>
      <c r="D38" s="26"/>
      <c r="E38"/>
      <c r="F38" s="26">
        <f>IF($J$7="LEA",ROUND('OPEB Contr Input - LEA'!K60,0),IF($J$7="MCVC",ROUND('OPEB Contr Input - MCVC'!K60,0),IF($J$7="RESA",ROUND('OPEB Contr Input - RESA'!K60,0),0)))</f>
        <v>0</v>
      </c>
      <c r="H38" s="128"/>
      <c r="I38" s="63"/>
      <c r="N38" s="200"/>
    </row>
    <row r="39" spans="1:14" ht="15" customHeight="1" x14ac:dyDescent="0.2">
      <c r="B39" s="304" t="s">
        <v>286</v>
      </c>
      <c r="D39" s="26"/>
      <c r="E39"/>
      <c r="F39" s="26">
        <f>IF($J$7="LEA",ROUND('OPEB Contr Input - LEA'!K61,0),IF($J$7="MCVC",ROUND('OPEB Contr Input - MCVC'!K61,0),IF($J$7="RESA",ROUND('OPEB Contr Input - RESA'!K61,0),0)))</f>
        <v>0</v>
      </c>
      <c r="H39" s="128"/>
      <c r="I39" s="63"/>
    </row>
    <row r="40" spans="1:14" ht="15" customHeight="1" x14ac:dyDescent="0.2">
      <c r="B40" s="304" t="s">
        <v>287</v>
      </c>
      <c r="D40" s="26">
        <f>IF(((D28+D27)&lt;(F29+F30+F31+F32+F33+F34+F35+F36+F37+F38+F39)),-((D28+D27)-(F29+F30+F31+F32+F33+F34+F35+F36+F37+F38+F39)),0)</f>
        <v>0</v>
      </c>
      <c r="E40"/>
      <c r="F40" s="306">
        <f>IF(((D28+D27)&gt;(F29+F30+F31+F32+F33+F34+F35+F36+F37+F38+F39)),((D28+D27)-(F29+F30+F31+F32+F33+F34+F35+F36+F37+F38+F39)),0)</f>
        <v>0</v>
      </c>
      <c r="H40" s="128"/>
    </row>
    <row r="41" spans="1:14" ht="15" customHeight="1" x14ac:dyDescent="0.2">
      <c r="D41"/>
      <c r="E41"/>
      <c r="F41" s="26"/>
      <c r="H41" s="23"/>
    </row>
    <row r="42" spans="1:14" ht="15" customHeight="1" thickBot="1" x14ac:dyDescent="0.25">
      <c r="B42" s="304"/>
      <c r="D42" s="26"/>
      <c r="E42"/>
      <c r="F42" s="26"/>
      <c r="H42" s="42"/>
      <c r="N42" s="26"/>
    </row>
    <row r="43" spans="1:14" ht="66.75" customHeight="1" thickBot="1" x14ac:dyDescent="0.3">
      <c r="B43" s="304"/>
      <c r="D43" s="26"/>
      <c r="E43"/>
      <c r="F43" s="26"/>
      <c r="H43" s="591" t="s">
        <v>234</v>
      </c>
      <c r="I43" s="592"/>
      <c r="J43" s="144" t="s">
        <v>406</v>
      </c>
      <c r="N43" s="26"/>
    </row>
    <row r="44" spans="1:14" ht="15" customHeight="1" thickBot="1" x14ac:dyDescent="0.3">
      <c r="B44" s="304"/>
      <c r="D44" s="26"/>
      <c r="E44"/>
      <c r="F44" s="26"/>
      <c r="H44" s="136">
        <v>0</v>
      </c>
      <c r="I44" s="137" t="s">
        <v>173</v>
      </c>
    </row>
    <row r="45" spans="1:14" ht="15" customHeight="1" thickBot="1" x14ac:dyDescent="0.3">
      <c r="B45" s="304"/>
      <c r="D45" s="26"/>
      <c r="E45"/>
      <c r="F45" s="26"/>
      <c r="H45" s="136">
        <v>0</v>
      </c>
      <c r="I45" s="137" t="s">
        <v>174</v>
      </c>
    </row>
    <row r="46" spans="1:14" ht="15" customHeight="1" thickBot="1" x14ac:dyDescent="0.3">
      <c r="A46" s="300" t="s">
        <v>274</v>
      </c>
      <c r="B46" s="301" t="s">
        <v>288</v>
      </c>
      <c r="D46" s="40"/>
      <c r="E46"/>
      <c r="F46"/>
      <c r="H46" s="136">
        <v>0</v>
      </c>
      <c r="I46" s="138" t="s">
        <v>175</v>
      </c>
    </row>
    <row r="47" spans="1:14" ht="15" customHeight="1" thickBot="1" x14ac:dyDescent="0.25">
      <c r="A47" s="300"/>
      <c r="B47" s="301" t="s">
        <v>297</v>
      </c>
      <c r="D47" s="40"/>
      <c r="E47"/>
      <c r="F47"/>
      <c r="H47" s="42"/>
    </row>
    <row r="48" spans="1:14" ht="15" customHeight="1" thickBot="1" x14ac:dyDescent="0.25">
      <c r="A48" s="300"/>
      <c r="B48" s="301"/>
      <c r="D48" s="40"/>
      <c r="E48"/>
      <c r="F48"/>
      <c r="H48" s="64">
        <f>IF(AND($J$7="LEA",'GASB 75 Sch Input CY'!$B$21&lt;&gt;0),ROUND('Summary of GASB 75 Activity'!C26,0),IF(AND($J$7="MCVC",'GASB 75 Sch Input CY'!$B$21&lt;&gt;0),ROUND('Summary of GASB 75 Activity'!G26,0),IF(AND($J$7="RESA",'GASB 75 Sch Input CY'!$B$21&lt;&gt;0),ROUND('Summary of GASB 75 Activity'!E26,0),0)))</f>
        <v>0</v>
      </c>
      <c r="I48" s="23" t="s">
        <v>183</v>
      </c>
    </row>
    <row r="49" spans="1:9" ht="15" customHeight="1" thickBot="1" x14ac:dyDescent="0.25">
      <c r="A49" s="300"/>
      <c r="B49" s="5" t="s">
        <v>10</v>
      </c>
      <c r="D49" s="40">
        <f>IF(H48&gt;0,H48,0)</f>
        <v>0</v>
      </c>
      <c r="E49"/>
      <c r="F49" s="40">
        <f>IF(H48&lt;0,-H48,0)</f>
        <v>0</v>
      </c>
      <c r="H49" s="64">
        <f>IF(AND($J$7="LEA",'GASB 75 Sch Input CY'!$B$21&lt;&gt;0),'Net LEA Amounts'!AF33-H44,IF(AND($J$7="MCVC",'GASB 75 Sch Input CY'!$B$21&lt;&gt;0),'Net LEA Amounts'!AF29-H46,IF(AND($J$7="RESA",'GASB 75 Sch Input CY'!$B$21&lt;&gt;0),'Net LEA Amounts'!AF31-H45,0)))</f>
        <v>0</v>
      </c>
      <c r="I49" s="23" t="s">
        <v>302</v>
      </c>
    </row>
    <row r="50" spans="1:9" ht="15" customHeight="1" x14ac:dyDescent="0.2">
      <c r="A50" s="300"/>
      <c r="B50" s="307" t="s">
        <v>276</v>
      </c>
      <c r="D50" s="40">
        <f>IF($H$49&gt;=0,ROUND($H$49*H50,0),0)</f>
        <v>0</v>
      </c>
      <c r="E50"/>
      <c r="F50" s="40">
        <f>IF($H$49&lt;0,ROUND(-$H$49*H50,0),0)</f>
        <v>0</v>
      </c>
      <c r="H50" s="49">
        <f>IF($J$7="LEA",'OPEB Contr Input - LEA'!G51,IF($J$7="MCVC",'OPEB Contr Input - MCVC'!G51,IF($J$7="RESA",'OPEB Contr Input - RESA'!G51,0)))</f>
        <v>0</v>
      </c>
    </row>
    <row r="51" spans="1:9" ht="15" customHeight="1" x14ac:dyDescent="0.2">
      <c r="A51" s="300"/>
      <c r="B51" s="307" t="s">
        <v>277</v>
      </c>
      <c r="D51" s="40">
        <f t="shared" ref="D51:D60" si="0">IF($H$49&gt;0,ROUND($H$49*H51,0),0)</f>
        <v>0</v>
      </c>
      <c r="E51"/>
      <c r="F51" s="40">
        <f t="shared" ref="F51:F60" si="1">IF($H$49&lt;0,ROUND(-$H$49*H51,0),0)</f>
        <v>0</v>
      </c>
      <c r="H51" s="50">
        <f>IF($J$7="LEA",'OPEB Contr Input - LEA'!G52,IF($J$7="MCVC",'OPEB Contr Input - MCVC'!G52,IF($J$7="RESA",'OPEB Contr Input - RESA'!G52,0)))</f>
        <v>0</v>
      </c>
      <c r="I51" s="23" t="s">
        <v>43</v>
      </c>
    </row>
    <row r="52" spans="1:9" ht="15" customHeight="1" x14ac:dyDescent="0.2">
      <c r="A52" s="300"/>
      <c r="B52" s="307" t="s">
        <v>278</v>
      </c>
      <c r="D52" s="40">
        <f t="shared" si="0"/>
        <v>0</v>
      </c>
      <c r="E52"/>
      <c r="F52" s="40">
        <f t="shared" si="1"/>
        <v>0</v>
      </c>
      <c r="H52" s="50">
        <f>IF($J$7="LEA",'OPEB Contr Input - LEA'!G53,IF($J$7="MCVC",'OPEB Contr Input - MCVC'!G53,IF($J$7="RESA",'OPEB Contr Input - RESA'!G53,0)))</f>
        <v>0</v>
      </c>
      <c r="I52" s="23" t="s">
        <v>44</v>
      </c>
    </row>
    <row r="53" spans="1:9" ht="15" customHeight="1" x14ac:dyDescent="0.2">
      <c r="A53" s="300"/>
      <c r="B53" s="307" t="s">
        <v>279</v>
      </c>
      <c r="D53" s="40">
        <f t="shared" si="0"/>
        <v>0</v>
      </c>
      <c r="E53"/>
      <c r="F53" s="40">
        <f t="shared" si="1"/>
        <v>0</v>
      </c>
      <c r="H53" s="50">
        <f>IF($J$7="LEA",'OPEB Contr Input - LEA'!G54,IF($J$7="MCVC",'OPEB Contr Input - MCVC'!G54,IF($J$7="RESA",'OPEB Contr Input - RESA'!G54,0)))</f>
        <v>0</v>
      </c>
      <c r="I53" s="23" t="s">
        <v>45</v>
      </c>
    </row>
    <row r="54" spans="1:9" ht="15" customHeight="1" x14ac:dyDescent="0.2">
      <c r="A54" s="300"/>
      <c r="B54" s="307" t="s">
        <v>280</v>
      </c>
      <c r="D54" s="40">
        <f t="shared" si="0"/>
        <v>0</v>
      </c>
      <c r="E54"/>
      <c r="F54" s="40">
        <f t="shared" si="1"/>
        <v>0</v>
      </c>
      <c r="H54" s="50">
        <f>IF($J$7="LEA",'OPEB Contr Input - LEA'!G55,IF($J$7="MCVC",'OPEB Contr Input - MCVC'!G55,IF($J$7="RESA",'OPEB Contr Input - RESA'!G55,0)))</f>
        <v>0</v>
      </c>
    </row>
    <row r="55" spans="1:9" ht="15" customHeight="1" x14ac:dyDescent="0.2">
      <c r="A55" s="300"/>
      <c r="B55" s="307" t="s">
        <v>281</v>
      </c>
      <c r="D55" s="40">
        <f t="shared" si="0"/>
        <v>0</v>
      </c>
      <c r="E55"/>
      <c r="F55" s="40">
        <f t="shared" si="1"/>
        <v>0</v>
      </c>
      <c r="H55" s="50">
        <f>IF($J$7="LEA",'OPEB Contr Input - LEA'!G56,IF($J$7="MCVC",'OPEB Contr Input - MCVC'!G56,IF($J$7="RESA",'OPEB Contr Input - RESA'!G56,0)))</f>
        <v>0</v>
      </c>
    </row>
    <row r="56" spans="1:9" ht="15" customHeight="1" x14ac:dyDescent="0.2">
      <c r="A56" s="300"/>
      <c r="B56" s="307" t="s">
        <v>282</v>
      </c>
      <c r="D56" s="40">
        <f t="shared" si="0"/>
        <v>0</v>
      </c>
      <c r="E56"/>
      <c r="F56" s="40">
        <f t="shared" si="1"/>
        <v>0</v>
      </c>
      <c r="H56" s="50">
        <f>IF($J$7="LEA",'OPEB Contr Input - LEA'!G57,IF($J$7="MCVC",'OPEB Contr Input - MCVC'!G57,IF($J$7="RESA",'OPEB Contr Input - RESA'!G57,0)))</f>
        <v>0</v>
      </c>
      <c r="I56" t="s">
        <v>132</v>
      </c>
    </row>
    <row r="57" spans="1:9" ht="15" customHeight="1" x14ac:dyDescent="0.2">
      <c r="A57" s="300"/>
      <c r="B57" s="307" t="s">
        <v>283</v>
      </c>
      <c r="D57" s="40">
        <f t="shared" si="0"/>
        <v>0</v>
      </c>
      <c r="E57"/>
      <c r="F57" s="40">
        <f t="shared" si="1"/>
        <v>0</v>
      </c>
      <c r="H57" s="50">
        <f>IF($J$7="LEA",'OPEB Contr Input - LEA'!G58,IF($J$7="MCVC",'OPEB Contr Input - MCVC'!G58,IF($J$7="RESA",'OPEB Contr Input - RESA'!G58,0)))</f>
        <v>0</v>
      </c>
    </row>
    <row r="58" spans="1:9" ht="15" customHeight="1" x14ac:dyDescent="0.2">
      <c r="A58" s="300"/>
      <c r="B58" s="307" t="s">
        <v>284</v>
      </c>
      <c r="D58" s="40">
        <f t="shared" si="0"/>
        <v>0</v>
      </c>
      <c r="E58"/>
      <c r="F58" s="40">
        <f t="shared" si="1"/>
        <v>0</v>
      </c>
      <c r="H58" s="50">
        <f>IF($J$7="LEA",'OPEB Contr Input - LEA'!G59,IF($J$7="MCVC",'OPEB Contr Input - MCVC'!G59,IF($J$7="RESA",'OPEB Contr Input - RESA'!G59,0)))</f>
        <v>0</v>
      </c>
    </row>
    <row r="59" spans="1:9" ht="15" customHeight="1" x14ac:dyDescent="0.2">
      <c r="A59" s="300"/>
      <c r="B59" s="307" t="s">
        <v>285</v>
      </c>
      <c r="D59" s="40">
        <f t="shared" si="0"/>
        <v>0</v>
      </c>
      <c r="E59"/>
      <c r="F59" s="40">
        <f t="shared" si="1"/>
        <v>0</v>
      </c>
      <c r="H59" s="50">
        <f>IF($J$7="LEA",'OPEB Contr Input - LEA'!G60,IF($J$7="MCVC",'OPEB Contr Input - MCVC'!G60,IF($J$7="RESA",'OPEB Contr Input - RESA'!G60,0)))</f>
        <v>0</v>
      </c>
    </row>
    <row r="60" spans="1:9" ht="15" customHeight="1" thickBot="1" x14ac:dyDescent="0.25">
      <c r="A60" s="300"/>
      <c r="B60" s="307" t="s">
        <v>286</v>
      </c>
      <c r="D60" s="40">
        <f t="shared" si="0"/>
        <v>0</v>
      </c>
      <c r="E60"/>
      <c r="F60" s="40">
        <f t="shared" si="1"/>
        <v>0</v>
      </c>
      <c r="H60" s="51">
        <f>IF($J$7="LEA",'OPEB Contr Input - LEA'!G61,IF($J$7="MCVC",'OPEB Contr Input - MCVC'!G61,IF($J$7="RESA",'OPEB Contr Input - RESA'!G61,0)))</f>
        <v>0</v>
      </c>
    </row>
    <row r="61" spans="1:9" ht="15" customHeight="1" thickBot="1" x14ac:dyDescent="0.25">
      <c r="A61" s="300"/>
      <c r="B61" s="304" t="s">
        <v>11</v>
      </c>
      <c r="D61" s="40">
        <f>IF(H61&lt;0,-H61,0)</f>
        <v>0</v>
      </c>
      <c r="E61"/>
      <c r="F61" s="40">
        <f>IF(H61&gt;0,H61,0)</f>
        <v>0</v>
      </c>
      <c r="H61" s="41">
        <f>IF(AND($J$7="LEA",'GASB 75 Sch Input CY'!$B$21&lt;&gt;0),ROUND('Summary of GASB 75 Activity'!C39,0),IF(AND($J$7="MCVC",'GASB 75 Sch Input CY'!$B$21&lt;&gt;0),ROUND('Summary of GASB 75 Activity'!G39,0),IF(AND($J$7="RESA",'GASB 75 Sch Input CY'!$B$21&lt;&gt;0),ROUND('Summary of GASB 75 Activity'!E39,0),0)))</f>
        <v>0</v>
      </c>
      <c r="I61" s="23" t="s">
        <v>184</v>
      </c>
    </row>
    <row r="62" spans="1:9" ht="15" customHeight="1" thickBot="1" x14ac:dyDescent="0.25">
      <c r="B62" s="308" t="s">
        <v>252</v>
      </c>
      <c r="D62" s="40">
        <f>IF(H62&lt;0,-H62,0)</f>
        <v>0</v>
      </c>
      <c r="E62"/>
      <c r="F62" s="40">
        <f>IF(H62&gt;0,H62,0)</f>
        <v>0</v>
      </c>
      <c r="H62" s="41">
        <f>IF(AND($J$7="LEA",'GASB 75 Sch Input CY'!$B$21&lt;&gt;0),ROUND('Summary of GASB 75 Activity'!C15,0),IF(AND($J$7="MCVC",'GASB 75 Sch Input CY'!$B$21&lt;&gt;0),ROUND('Summary of GASB 75 Activity'!G15,0),IF(AND($J$7="RESA",'GASB 75 Sch Input CY'!$B$21&lt;&gt;0),ROUND('Summary of GASB 75 Activity'!E15,0),0)))</f>
        <v>0</v>
      </c>
      <c r="I62" s="23" t="s">
        <v>333</v>
      </c>
    </row>
    <row r="63" spans="1:9" ht="15" customHeight="1" x14ac:dyDescent="0.25">
      <c r="B63" s="304" t="s">
        <v>3</v>
      </c>
      <c r="D63" s="302">
        <f>IF((SUM(D49:D62))&lt;(SUM(F49:F62)),((SUM(F49:F62)))-(SUM(D49:D62)),0)</f>
        <v>0</v>
      </c>
      <c r="E63"/>
      <c r="F63" s="302">
        <f>IF((SUM(D49:D62))&gt;(SUM(F49:F62)),((SUM(D49:D62)))-(SUM(F49:F62)),0)</f>
        <v>0</v>
      </c>
      <c r="H63" s="168">
        <f>D63-F63</f>
        <v>0</v>
      </c>
      <c r="I63" s="25" t="s">
        <v>246</v>
      </c>
    </row>
    <row r="64" spans="1:9" ht="15" customHeight="1" x14ac:dyDescent="0.2">
      <c r="D64"/>
      <c r="E64"/>
      <c r="F64"/>
      <c r="H64" s="26">
        <f>((SUM(D49:D63))-(SUM(F49:F63)))</f>
        <v>0</v>
      </c>
    </row>
    <row r="65" spans="1:9" ht="15" customHeight="1" x14ac:dyDescent="0.2">
      <c r="B65" s="303"/>
      <c r="D65" s="40"/>
      <c r="E65"/>
      <c r="F65"/>
    </row>
    <row r="66" spans="1:9" ht="15" customHeight="1" x14ac:dyDescent="0.2">
      <c r="A66" s="300" t="s">
        <v>366</v>
      </c>
      <c r="B66" s="301" t="s">
        <v>266</v>
      </c>
      <c r="D66" s="40"/>
      <c r="E66"/>
      <c r="F66"/>
    </row>
    <row r="67" spans="1:9" ht="15" customHeight="1" thickBot="1" x14ac:dyDescent="0.3">
      <c r="B67" s="39"/>
      <c r="D67" s="40"/>
      <c r="E67"/>
      <c r="F67"/>
    </row>
    <row r="68" spans="1:9" ht="15" customHeight="1" thickBot="1" x14ac:dyDescent="0.25">
      <c r="B68" s="5" t="s">
        <v>46</v>
      </c>
      <c r="D68" s="53">
        <f>IF(H68&lt;0,-H68,0)</f>
        <v>0</v>
      </c>
      <c r="E68"/>
      <c r="F68" s="26">
        <f>IF(H68&gt;0,H68,0)</f>
        <v>0</v>
      </c>
      <c r="H68" s="64">
        <f>IF($J$7="LEA",ROUND('GASB 75 State Aid Support'!H46,0),IF($J$7="MCVC",ROUND('GASB 75 State Aid Support'!L46,0),IF($J$7="RESA",ROUND('GASB 75 State Aid Support'!J46,0),0)))</f>
        <v>0</v>
      </c>
      <c r="I68" s="23" t="s">
        <v>200</v>
      </c>
    </row>
    <row r="69" spans="1:9" ht="15" customHeight="1" x14ac:dyDescent="0.2">
      <c r="B69" s="304" t="s">
        <v>276</v>
      </c>
      <c r="D69" s="26">
        <f>ROUND($F$68*H69,0)</f>
        <v>0</v>
      </c>
      <c r="E69"/>
      <c r="F69" s="30">
        <f>ROUND($D$68*H69,0)</f>
        <v>0</v>
      </c>
      <c r="H69" s="49">
        <f>IF($J$7="LEA",'OPEB Contr Input - LEA'!G51,IF($J$7="MCVC",'OPEB Contr Input - MCVC'!G51,IF($J$7="RESA",'OPEB Contr Input - RESA'!G51,0)))</f>
        <v>0</v>
      </c>
    </row>
    <row r="70" spans="1:9" ht="15" customHeight="1" x14ac:dyDescent="0.2">
      <c r="B70" s="304" t="s">
        <v>277</v>
      </c>
      <c r="D70" s="26">
        <f t="shared" ref="D70:D79" si="2">ROUND($F$68*H70,0)</f>
        <v>0</v>
      </c>
      <c r="E70"/>
      <c r="F70" s="30">
        <f t="shared" ref="F70:F79" si="3">ROUND($D$68*H70,0)</f>
        <v>0</v>
      </c>
      <c r="H70" s="50">
        <f>IF($J$7="LEA",'OPEB Contr Input - LEA'!G52,IF($J$7="MCVC",'OPEB Contr Input - MCVC'!G52,IF($J$7="RESA",'OPEB Contr Input - RESA'!G52,0)))</f>
        <v>0</v>
      </c>
      <c r="I70" s="23" t="s">
        <v>43</v>
      </c>
    </row>
    <row r="71" spans="1:9" ht="15" customHeight="1" x14ac:dyDescent="0.2">
      <c r="B71" s="304" t="s">
        <v>278</v>
      </c>
      <c r="D71" s="26">
        <f t="shared" si="2"/>
        <v>0</v>
      </c>
      <c r="E71"/>
      <c r="F71" s="30">
        <f t="shared" si="3"/>
        <v>0</v>
      </c>
      <c r="H71" s="50">
        <f>IF($J$7="LEA",'OPEB Contr Input - LEA'!G53,IF($J$7="MCVC",'OPEB Contr Input - MCVC'!G53,IF($J$7="RESA",'OPEB Contr Input - RESA'!G53,0)))</f>
        <v>0</v>
      </c>
      <c r="I71" s="23" t="s">
        <v>44</v>
      </c>
    </row>
    <row r="72" spans="1:9" ht="15" customHeight="1" x14ac:dyDescent="0.2">
      <c r="B72" s="304" t="s">
        <v>279</v>
      </c>
      <c r="D72" s="26">
        <f t="shared" si="2"/>
        <v>0</v>
      </c>
      <c r="E72"/>
      <c r="F72" s="30">
        <f t="shared" si="3"/>
        <v>0</v>
      </c>
      <c r="H72" s="50">
        <f>IF($J$7="LEA",'OPEB Contr Input - LEA'!G54,IF($J$7="MCVC",'OPEB Contr Input - MCVC'!G54,IF($J$7="RESA",'OPEB Contr Input - RESA'!G54,0)))</f>
        <v>0</v>
      </c>
      <c r="I72" s="23" t="s">
        <v>45</v>
      </c>
    </row>
    <row r="73" spans="1:9" ht="15" customHeight="1" x14ac:dyDescent="0.2">
      <c r="B73" s="304" t="s">
        <v>280</v>
      </c>
      <c r="D73" s="26">
        <f t="shared" si="2"/>
        <v>0</v>
      </c>
      <c r="E73"/>
      <c r="F73" s="30">
        <f t="shared" si="3"/>
        <v>0</v>
      </c>
      <c r="H73" s="50">
        <f>IF($J$7="LEA",'OPEB Contr Input - LEA'!G55,IF($J$7="MCVC",'OPEB Contr Input - MCVC'!G55,IF($J$7="RESA",'OPEB Contr Input - RESA'!G55,0)))</f>
        <v>0</v>
      </c>
    </row>
    <row r="74" spans="1:9" ht="15" customHeight="1" x14ac:dyDescent="0.2">
      <c r="B74" s="304" t="s">
        <v>281</v>
      </c>
      <c r="D74" s="26">
        <f t="shared" si="2"/>
        <v>0</v>
      </c>
      <c r="E74"/>
      <c r="F74" s="30">
        <f t="shared" si="3"/>
        <v>0</v>
      </c>
      <c r="H74" s="50">
        <f>IF($J$7="LEA",'OPEB Contr Input - LEA'!G56,IF($J$7="MCVC",'OPEB Contr Input - MCVC'!G56,IF($J$7="RESA",'OPEB Contr Input - RESA'!G56,0)))</f>
        <v>0</v>
      </c>
    </row>
    <row r="75" spans="1:9" ht="15" customHeight="1" x14ac:dyDescent="0.2">
      <c r="B75" s="304" t="s">
        <v>282</v>
      </c>
      <c r="D75" s="26">
        <f t="shared" si="2"/>
        <v>0</v>
      </c>
      <c r="E75"/>
      <c r="F75" s="30">
        <f t="shared" si="3"/>
        <v>0</v>
      </c>
      <c r="H75" s="50">
        <f>IF($J$7="LEA",'OPEB Contr Input - LEA'!G57,IF($J$7="MCVC",'OPEB Contr Input - MCVC'!G57,IF($J$7="RESA",'OPEB Contr Input - RESA'!G57,0)))</f>
        <v>0</v>
      </c>
      <c r="I75" t="s">
        <v>132</v>
      </c>
    </row>
    <row r="76" spans="1:9" ht="15" customHeight="1" x14ac:dyDescent="0.2">
      <c r="B76" s="304" t="s">
        <v>283</v>
      </c>
      <c r="D76" s="26">
        <f t="shared" si="2"/>
        <v>0</v>
      </c>
      <c r="E76"/>
      <c r="F76" s="30">
        <f t="shared" si="3"/>
        <v>0</v>
      </c>
      <c r="H76" s="50">
        <f>IF($J$7="LEA",'OPEB Contr Input - LEA'!G58,IF($J$7="MCVC",'OPEB Contr Input - MCVC'!G58,IF($J$7="RESA",'OPEB Contr Input - RESA'!G58,0)))</f>
        <v>0</v>
      </c>
    </row>
    <row r="77" spans="1:9" ht="15" customHeight="1" x14ac:dyDescent="0.2">
      <c r="B77" s="304" t="s">
        <v>284</v>
      </c>
      <c r="D77" s="26">
        <f t="shared" si="2"/>
        <v>0</v>
      </c>
      <c r="E77"/>
      <c r="F77" s="30">
        <f t="shared" si="3"/>
        <v>0</v>
      </c>
      <c r="H77" s="50">
        <f>IF($J$7="LEA",'OPEB Contr Input - LEA'!G59,IF($J$7="MCVC",'OPEB Contr Input - MCVC'!G59,IF($J$7="RESA",'OPEB Contr Input - RESA'!G59,0)))</f>
        <v>0</v>
      </c>
    </row>
    <row r="78" spans="1:9" ht="15" customHeight="1" x14ac:dyDescent="0.2">
      <c r="B78" s="304" t="s">
        <v>285</v>
      </c>
      <c r="D78" s="26">
        <f t="shared" si="2"/>
        <v>0</v>
      </c>
      <c r="E78"/>
      <c r="F78" s="30">
        <f t="shared" si="3"/>
        <v>0</v>
      </c>
      <c r="H78" s="50">
        <f>IF($J$7="LEA",'OPEB Contr Input - LEA'!G60,IF($J$7="MCVC",'OPEB Contr Input - MCVC'!G60,IF($J$7="RESA",'OPEB Contr Input - RESA'!G60,0)))</f>
        <v>0</v>
      </c>
    </row>
    <row r="79" spans="1:9" ht="15" customHeight="1" thickBot="1" x14ac:dyDescent="0.25">
      <c r="B79" s="304" t="s">
        <v>286</v>
      </c>
      <c r="D79" s="26">
        <f t="shared" si="2"/>
        <v>0</v>
      </c>
      <c r="E79"/>
      <c r="F79" s="30">
        <f t="shared" si="3"/>
        <v>0</v>
      </c>
      <c r="H79" s="51">
        <f>IF($J$7="LEA",'OPEB Contr Input - LEA'!G61,IF($J$7="MCVC",'OPEB Contr Input - MCVC'!G61,IF($J$7="RESA",'OPEB Contr Input - RESA'!G61,0)))</f>
        <v>0</v>
      </c>
    </row>
    <row r="80" spans="1:9" ht="15" customHeight="1" x14ac:dyDescent="0.2">
      <c r="B80" s="304" t="s">
        <v>287</v>
      </c>
      <c r="D80" s="40">
        <f>IF((SUM(D68:D79))&lt;(SUM(F68:F79)),((SUM(F68:F79)))-(SUM(D68:D79)),0)</f>
        <v>0</v>
      </c>
      <c r="E80"/>
      <c r="F80" s="40">
        <f>IF((SUM(D68:D79))&gt;(SUM(F68:F79)),((SUM(D68:D79)))-(SUM(F68:F79)),0)</f>
        <v>0</v>
      </c>
      <c r="H80" s="42"/>
    </row>
    <row r="81" spans="1:9" ht="15" customHeight="1" x14ac:dyDescent="0.2">
      <c r="B81" s="307"/>
      <c r="D81" s="40"/>
      <c r="E81"/>
      <c r="F81" s="26"/>
    </row>
    <row r="82" spans="1:9" ht="15" customHeight="1" x14ac:dyDescent="0.25">
      <c r="B82" s="39" t="s">
        <v>331</v>
      </c>
      <c r="D82" s="40"/>
      <c r="E82"/>
      <c r="F82"/>
    </row>
    <row r="83" spans="1:9" ht="15" customHeight="1" x14ac:dyDescent="0.25">
      <c r="B83" s="39" t="s">
        <v>289</v>
      </c>
      <c r="D83" s="40"/>
      <c r="E83"/>
      <c r="F83"/>
    </row>
    <row r="84" spans="1:9" ht="15" customHeight="1" x14ac:dyDescent="0.25">
      <c r="B84" s="39" t="s">
        <v>42</v>
      </c>
      <c r="D84" s="40"/>
      <c r="E84"/>
      <c r="F84"/>
    </row>
    <row r="85" spans="1:9" ht="15" customHeight="1" x14ac:dyDescent="0.25">
      <c r="B85" s="39"/>
      <c r="D85" s="40"/>
      <c r="E85"/>
      <c r="F85"/>
    </row>
    <row r="86" spans="1:9" ht="15" customHeight="1" x14ac:dyDescent="0.25">
      <c r="B86" s="39"/>
      <c r="D86" s="40"/>
      <c r="E86"/>
      <c r="F86"/>
    </row>
    <row r="87" spans="1:9" ht="15" customHeight="1" thickBot="1" x14ac:dyDescent="0.25">
      <c r="B87" s="309" t="s">
        <v>2</v>
      </c>
      <c r="C87" s="310"/>
      <c r="D87" s="311">
        <f>SUM(D8:D86)</f>
        <v>0</v>
      </c>
      <c r="E87" s="312"/>
      <c r="F87" s="311">
        <f>SUM(F8:F86)</f>
        <v>0</v>
      </c>
      <c r="H87" s="26">
        <f>D87-F87</f>
        <v>0</v>
      </c>
    </row>
    <row r="88" spans="1:9" ht="15.75" thickTop="1" x14ac:dyDescent="0.2"/>
    <row r="89" spans="1:9" ht="25.5" customHeight="1" x14ac:dyDescent="0.25">
      <c r="A89" s="313"/>
      <c r="B89" s="313"/>
      <c r="E89" s="314"/>
      <c r="F89" s="315">
        <f>F87-D87</f>
        <v>0</v>
      </c>
      <c r="G89" s="316" t="s">
        <v>8</v>
      </c>
      <c r="H89" s="317"/>
      <c r="I89" s="318"/>
    </row>
    <row r="90" spans="1:9" x14ac:dyDescent="0.2">
      <c r="E90" s="319"/>
      <c r="F90" s="193"/>
      <c r="G90" s="320" t="s">
        <v>9</v>
      </c>
      <c r="I90" s="321"/>
    </row>
    <row r="91" spans="1:9" ht="17.25" x14ac:dyDescent="0.35">
      <c r="A91" s="322"/>
      <c r="B91" s="322"/>
      <c r="C91" s="323"/>
      <c r="D91" s="323"/>
      <c r="E91" s="324"/>
      <c r="F91" s="325"/>
      <c r="G91" s="326"/>
      <c r="H91" s="326"/>
      <c r="I91" s="327"/>
    </row>
    <row r="93" spans="1:9" ht="18" thickBot="1" x14ac:dyDescent="0.4">
      <c r="A93" s="328"/>
      <c r="B93" s="328"/>
      <c r="C93" s="322"/>
      <c r="D93" s="322"/>
      <c r="E93" s="322"/>
      <c r="F93" s="322"/>
    </row>
    <row r="94" spans="1:9" ht="18" x14ac:dyDescent="0.25">
      <c r="A94" s="328"/>
      <c r="B94" s="329" t="s">
        <v>354</v>
      </c>
      <c r="C94" s="330"/>
      <c r="D94" s="330"/>
      <c r="E94" s="330"/>
      <c r="F94" s="330"/>
      <c r="G94" s="75"/>
      <c r="H94" s="75"/>
      <c r="I94" s="76"/>
    </row>
    <row r="95" spans="1:9" ht="22.5" customHeight="1" x14ac:dyDescent="0.25">
      <c r="A95" s="323"/>
      <c r="B95" s="331" t="s">
        <v>348</v>
      </c>
      <c r="D95" s="193"/>
      <c r="E95" s="193"/>
      <c r="F95" s="193">
        <f>IF($J$7="LEA",ROUND('OPEB Contr Input - LEA'!K62+'OPEB Contr Input - LEA'!S62,0),IF($J$7="RESA",ROUND('OPEB Contr Input - RESA'!K62+'OPEB Contr Input - RESA'!S62,0),IF($J$7="MCVC",ROUND('OPEB Contr Input - MCVC'!K62+'OPEB Contr Input - MCVC'!S62,0))))</f>
        <v>0</v>
      </c>
      <c r="I95" s="77"/>
    </row>
    <row r="96" spans="1:9" ht="34.5" customHeight="1" x14ac:dyDescent="0.35">
      <c r="B96" s="332" t="s">
        <v>367</v>
      </c>
      <c r="C96" s="322"/>
      <c r="D96" s="193"/>
      <c r="E96" s="322"/>
      <c r="F96" s="239">
        <f>-F29-F30-F31-F32-F33-F34-F35-F36-F37-F38-F39-F40+D29+D30+D31+D32+D33+D34+D35+D36+D37+D38+D39+D40</f>
        <v>0</v>
      </c>
      <c r="I96" s="77"/>
    </row>
    <row r="97" spans="1:13" ht="17.25" x14ac:dyDescent="0.35">
      <c r="A97" s="322"/>
      <c r="B97" s="331" t="s">
        <v>349</v>
      </c>
      <c r="D97" s="193"/>
      <c r="E97" s="193"/>
      <c r="F97" s="193">
        <f>SUM(F95:F96)</f>
        <v>0</v>
      </c>
      <c r="I97" s="77"/>
    </row>
    <row r="98" spans="1:13" x14ac:dyDescent="0.2">
      <c r="B98" s="331" t="s">
        <v>368</v>
      </c>
      <c r="D98" s="193"/>
      <c r="E98" s="193"/>
      <c r="F98" s="193">
        <f>D50+D51+D52+D53+D54+D55+D56+D57+D58+D59+D60-F50-F51-F52-F53-F54-F55-F56-F57-F58-F59-F60</f>
        <v>0</v>
      </c>
      <c r="I98" s="77"/>
    </row>
    <row r="99" spans="1:13" x14ac:dyDescent="0.2">
      <c r="B99" s="331" t="s">
        <v>369</v>
      </c>
      <c r="D99" s="193"/>
      <c r="E99" s="193"/>
      <c r="F99" s="239">
        <f>D69+D70+D71+D72+D73+D74+D75+D76+D77+D78+D79+D80-F69-F70-F71-F72-F73-F74-F75-F76-F77-F78-F79-F80</f>
        <v>0</v>
      </c>
      <c r="I99" s="77"/>
    </row>
    <row r="100" spans="1:13" ht="15.75" x14ac:dyDescent="0.25">
      <c r="A100" s="328"/>
      <c r="B100" s="333" t="s">
        <v>351</v>
      </c>
      <c r="C100" s="323"/>
      <c r="D100" s="193"/>
      <c r="E100" s="323"/>
      <c r="F100" s="193">
        <f>SUM(F97:F99)</f>
        <v>0</v>
      </c>
      <c r="I100" s="77"/>
    </row>
    <row r="101" spans="1:13" ht="15.75" x14ac:dyDescent="0.25">
      <c r="A101" s="323"/>
      <c r="B101" s="334"/>
      <c r="D101" s="193"/>
      <c r="E101" s="193"/>
      <c r="F101" s="193"/>
      <c r="I101" s="77"/>
    </row>
    <row r="102" spans="1:13" ht="17.25" x14ac:dyDescent="0.35">
      <c r="B102" s="333" t="s">
        <v>352</v>
      </c>
      <c r="C102" s="322"/>
      <c r="D102" s="193">
        <f>IF($J$7="LEA",'Net LEA Amounts'!AF33,IF($J$7="RESA",'Net LEA Amounts'!AF31,IF($J$7="MCVC",'Net LEA Amounts'!AF29,0)))</f>
        <v>0</v>
      </c>
      <c r="E102" s="322"/>
      <c r="F102" s="322"/>
      <c r="I102" s="77"/>
    </row>
    <row r="103" spans="1:13" ht="17.25" x14ac:dyDescent="0.35">
      <c r="A103" s="322"/>
      <c r="B103" s="333" t="s">
        <v>353</v>
      </c>
      <c r="D103" s="239">
        <f>IF($J$7="LEA",'GASB 75 State Aid Support'!H46,IF($J$7="RESA",'GASB 75 State Aid Support'!J46,IF($J$7="MCVC",'GASB 75 State Aid Support'!L46,0)))</f>
        <v>0</v>
      </c>
      <c r="E103" s="193"/>
      <c r="F103" s="193"/>
      <c r="I103" s="77"/>
    </row>
    <row r="104" spans="1:13" x14ac:dyDescent="0.2">
      <c r="B104" s="331" t="s">
        <v>350</v>
      </c>
      <c r="D104" s="193"/>
      <c r="E104" s="193"/>
      <c r="F104" s="239">
        <f>SUM(D102:D103)</f>
        <v>0</v>
      </c>
      <c r="I104" s="77"/>
    </row>
    <row r="105" spans="1:13" ht="16.5" customHeight="1" thickBot="1" x14ac:dyDescent="0.3">
      <c r="A105" s="328"/>
      <c r="B105" s="333" t="s">
        <v>67</v>
      </c>
      <c r="C105" s="323"/>
      <c r="D105" s="323"/>
      <c r="E105" s="323"/>
      <c r="F105" s="335">
        <f>F100-F104</f>
        <v>0</v>
      </c>
      <c r="G105" s="31" t="s">
        <v>235</v>
      </c>
      <c r="H105" s="31"/>
      <c r="I105" s="336"/>
      <c r="J105" s="337"/>
      <c r="K105" s="337"/>
      <c r="L105" s="337"/>
      <c r="M105" s="337"/>
    </row>
    <row r="106" spans="1:13" ht="17.25" thickTop="1" thickBot="1" x14ac:dyDescent="0.3">
      <c r="A106" s="323"/>
      <c r="B106" s="338"/>
      <c r="C106" s="45"/>
      <c r="D106" s="339"/>
      <c r="E106" s="339"/>
      <c r="F106" s="339"/>
      <c r="G106" s="340"/>
      <c r="H106" s="340"/>
      <c r="I106" s="341"/>
      <c r="J106" s="337"/>
      <c r="K106" s="337"/>
      <c r="L106" s="337"/>
      <c r="M106" s="337"/>
    </row>
    <row r="107" spans="1:13" ht="17.25" x14ac:dyDescent="0.35">
      <c r="C107" s="322"/>
      <c r="D107" s="322"/>
      <c r="E107" s="322"/>
      <c r="F107" s="322"/>
      <c r="G107" s="337"/>
      <c r="H107" s="337"/>
      <c r="I107" s="337"/>
      <c r="J107" s="337"/>
      <c r="K107" s="337"/>
      <c r="L107" s="337"/>
      <c r="M107" s="337"/>
    </row>
    <row r="108" spans="1:13" ht="18" thickBot="1" x14ac:dyDescent="0.4">
      <c r="A108" s="322"/>
      <c r="B108" s="322"/>
    </row>
    <row r="109" spans="1:13" ht="18" x14ac:dyDescent="0.25">
      <c r="B109" s="329" t="s">
        <v>394</v>
      </c>
      <c r="C109" s="75"/>
      <c r="D109" s="342"/>
      <c r="E109" s="343"/>
    </row>
    <row r="110" spans="1:13" ht="15.75" x14ac:dyDescent="0.25">
      <c r="A110" s="328"/>
      <c r="B110" s="344"/>
      <c r="C110" s="323"/>
      <c r="D110" s="323"/>
      <c r="E110" s="345"/>
      <c r="F110" s="323"/>
    </row>
    <row r="111" spans="1:13" ht="15.75" x14ac:dyDescent="0.25">
      <c r="A111" s="323"/>
      <c r="B111" s="331" t="s">
        <v>390</v>
      </c>
      <c r="D111" s="193">
        <f>IF(J7="LEA",ROUND('OPEB Contr Input - LEA'!K62,0),IF(J7="RESA",ROUND('OPEB Contr Input - RESA'!K62,0),IF(J7="MCVC",ROUND('OPEB Contr Input - MCVC'!K62,0),0)))</f>
        <v>0</v>
      </c>
      <c r="E111" s="346"/>
    </row>
    <row r="112" spans="1:13" ht="15.75" x14ac:dyDescent="0.25">
      <c r="A112" s="323"/>
      <c r="B112" s="331"/>
      <c r="D112" s="193"/>
      <c r="E112" s="346"/>
    </row>
    <row r="113" spans="1:6" ht="17.25" x14ac:dyDescent="0.35">
      <c r="B113" s="331" t="s">
        <v>391</v>
      </c>
      <c r="C113" s="322"/>
      <c r="D113" s="347">
        <f>_xlfn.IFS(J7="LEA",'Net LEA Amounts'!L13,J7="MCVC",'Net LEA Amounts'!G13,J7="RESA",'Net LEA Amounts'!#REF!)</f>
        <v>0</v>
      </c>
      <c r="E113" s="348"/>
      <c r="F113" s="322"/>
    </row>
    <row r="114" spans="1:6" ht="17.25" x14ac:dyDescent="0.35">
      <c r="A114" s="322"/>
      <c r="B114" s="331" t="s">
        <v>392</v>
      </c>
      <c r="D114" s="349">
        <f>_xlfn.IFS(J7="LEA",'Net LEA Amounts'!L55,J7="MCVC",'Net LEA Amounts'!G55,J7="RESA",'Net LEA Amounts'!#REF!)</f>
        <v>0</v>
      </c>
      <c r="E114" s="346"/>
    </row>
    <row r="115" spans="1:6" x14ac:dyDescent="0.2">
      <c r="B115" s="331" t="s">
        <v>393</v>
      </c>
      <c r="D115" s="347">
        <f>D113-D114</f>
        <v>0</v>
      </c>
      <c r="E115" s="346"/>
    </row>
    <row r="116" spans="1:6" x14ac:dyDescent="0.2">
      <c r="A116" s="328"/>
      <c r="B116" s="344"/>
      <c r="D116" s="193"/>
      <c r="E116" s="346"/>
    </row>
    <row r="117" spans="1:6" ht="15.75" x14ac:dyDescent="0.25">
      <c r="A117" s="323"/>
      <c r="B117" s="331" t="s">
        <v>395</v>
      </c>
      <c r="D117" s="193">
        <f>SUM(D50:D60,D69:D80)-SUM(F50:F60,F69:F80)</f>
        <v>0</v>
      </c>
      <c r="E117" s="346"/>
    </row>
    <row r="118" spans="1:6" x14ac:dyDescent="0.2">
      <c r="B118" s="331" t="s">
        <v>396</v>
      </c>
      <c r="D118" s="193">
        <f>SUM(F63,F68)-SUM(D63,D68)</f>
        <v>0</v>
      </c>
      <c r="E118" s="346"/>
    </row>
    <row r="119" spans="1:6" ht="18" thickBot="1" x14ac:dyDescent="0.4">
      <c r="A119" s="322"/>
      <c r="B119" s="350"/>
      <c r="C119" s="45"/>
      <c r="D119" s="339"/>
      <c r="E119" s="351"/>
    </row>
    <row r="121" spans="1:6" x14ac:dyDescent="0.2">
      <c r="A121" s="328"/>
      <c r="B121" s="328"/>
    </row>
    <row r="122" spans="1:6" ht="15.75" x14ac:dyDescent="0.25">
      <c r="A122" s="323"/>
      <c r="B122" s="323"/>
    </row>
    <row r="124" spans="1:6" ht="17.25" x14ac:dyDescent="0.35">
      <c r="A124" s="322"/>
      <c r="B124" s="322"/>
    </row>
    <row r="126" spans="1:6" x14ac:dyDescent="0.2">
      <c r="A126" s="328"/>
      <c r="B126" s="328"/>
    </row>
    <row r="127" spans="1:6" ht="15.75" x14ac:dyDescent="0.25">
      <c r="A127" s="313"/>
      <c r="B127" s="313"/>
    </row>
  </sheetData>
  <sheetProtection algorithmName="SHA-512" hashValue="XDZl83FClZ9NwlH7JVccgPWHyhW/DNceAy3610nijP4aCYt9V0frsLR9y0v1tjxrYReHxDL1ovZ2IpU3HAFXBQ==" saltValue="5pOHTZJ9u1yM+H2Tkau0Qw==" spinCount="100000" sheet="1" objects="1" scenarios="1"/>
  <mergeCells count="8">
    <mergeCell ref="H43:I43"/>
    <mergeCell ref="A4:H4"/>
    <mergeCell ref="A1:G1"/>
    <mergeCell ref="A2:G2"/>
    <mergeCell ref="H1:L2"/>
    <mergeCell ref="A3:G3"/>
    <mergeCell ref="B10:B11"/>
    <mergeCell ref="B18:B20"/>
  </mergeCells>
  <phoneticPr fontId="0" type="noConversion"/>
  <dataValidations count="1">
    <dataValidation type="list" allowBlank="1" showInputMessage="1" showErrorMessage="1" errorTitle="Invalid Entity Type" error="You have entered an invalid entity type.  Please select one of the following options:_x000a__x000a_LEA_x000a_MCVC_x000a_RESA" promptTitle="Validy Entity Type" prompt="Please select a valid entity type from the drop down menu in order to link the GASB 68 entries to the appropriate entity data within this workbook.  _x000a__x000a_LEA (Fiscal agent or non-fiscal agent LEA)_x000a_MCVC_x000a_RESA" sqref="J7" xr:uid="{00000000-0002-0000-0000-000000000000}">
      <formula1>Valid_Entity_Type</formula1>
    </dataValidation>
  </dataValidations>
  <pageMargins left="1" right="0.5" top="0.5" bottom="0.5" header="0.5" footer="0.5"/>
  <pageSetup scale="58" orientation="portrait" cellComments="asDisplayed" horizontalDpi="204" verticalDpi="196" r:id="rId1"/>
  <headerFooter alignWithMargins="0"/>
  <rowBreaks count="2" manualBreakCount="2">
    <brk id="8" max="5" man="1"/>
    <brk id="64" max="6" man="1"/>
  </rowBreaks>
  <cellWatches>
    <cellWatch r="H87"/>
    <cellWatch r="F105"/>
    <cellWatch r="H63"/>
  </cellWatche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B1:G25"/>
  <sheetViews>
    <sheetView view="pageBreakPreview" zoomScale="130" zoomScaleNormal="100" zoomScaleSheetLayoutView="130" workbookViewId="0">
      <selection activeCell="H8" sqref="H8"/>
    </sheetView>
  </sheetViews>
  <sheetFormatPr defaultColWidth="8.88671875" defaultRowHeight="15" x14ac:dyDescent="0.2"/>
  <cols>
    <col min="1" max="1" width="8.88671875" style="34"/>
    <col min="2" max="2" width="43.5546875" style="34" customWidth="1"/>
    <col min="3" max="3" width="1" style="34" customWidth="1"/>
    <col min="4" max="4" width="12.77734375" style="34" customWidth="1"/>
    <col min="5" max="5" width="1" style="34" customWidth="1"/>
    <col min="6" max="16384" width="8.88671875" style="34"/>
  </cols>
  <sheetData>
    <row r="1" spans="2:7" ht="15.75" x14ac:dyDescent="0.25">
      <c r="B1" s="256" t="s">
        <v>342</v>
      </c>
    </row>
    <row r="2" spans="2:7" ht="18" x14ac:dyDescent="0.25">
      <c r="B2" s="257" t="s">
        <v>6</v>
      </c>
      <c r="F2" s="145" t="s">
        <v>16</v>
      </c>
    </row>
    <row r="3" spans="2:7" ht="18" x14ac:dyDescent="0.25">
      <c r="B3" s="257"/>
      <c r="F3" s="145" t="str">
        <f>'Net LEA Amounts'!L2</f>
        <v>Password for protected sheet: BOE2025</v>
      </c>
    </row>
    <row r="4" spans="2:7" x14ac:dyDescent="0.2">
      <c r="B4" s="146"/>
      <c r="C4" s="258"/>
      <c r="D4" s="258"/>
      <c r="E4" s="147"/>
      <c r="F4" s="147"/>
      <c r="G4" s="147"/>
    </row>
    <row r="5" spans="2:7" x14ac:dyDescent="0.2">
      <c r="B5" s="146" t="s">
        <v>562</v>
      </c>
      <c r="C5" s="258"/>
      <c r="D5" s="260">
        <f>'GASB 75 JEs'!F16+'GASB 75 JEs'!F62-'GASB 75 JEs'!D62</f>
        <v>0</v>
      </c>
      <c r="E5" s="147"/>
      <c r="F5" s="147"/>
      <c r="G5" s="147"/>
    </row>
    <row r="6" spans="2:7" ht="4.5" customHeight="1" x14ac:dyDescent="0.2">
      <c r="B6" s="150"/>
      <c r="C6" s="4"/>
      <c r="D6" s="253"/>
    </row>
    <row r="7" spans="2:7" x14ac:dyDescent="0.2">
      <c r="B7" s="252" t="s">
        <v>563</v>
      </c>
      <c r="C7" s="2"/>
      <c r="D7" s="253"/>
      <c r="E7" s="146"/>
      <c r="F7" s="146"/>
      <c r="G7" s="148"/>
    </row>
    <row r="8" spans="2:7" x14ac:dyDescent="0.2">
      <c r="B8" s="150" t="s">
        <v>80</v>
      </c>
      <c r="C8" s="2"/>
      <c r="D8" s="254">
        <f>IF('GASB 75 JEs'!J7="LEA",'GASB 75 State Aid Support'!H67,IF('GASB 75 JEs'!J7="RESA",'GASB 75 State Aid Support'!J67,IF('GASB 75 JEs'!J7="MCVC",'GASB 75 State Aid Support'!L67,0)))</f>
        <v>0</v>
      </c>
      <c r="E8" s="146"/>
      <c r="F8" s="146"/>
      <c r="G8" s="148"/>
    </row>
    <row r="9" spans="2:7" ht="15.75" thickBot="1" x14ac:dyDescent="0.25">
      <c r="B9" s="153" t="s">
        <v>564</v>
      </c>
      <c r="C9" s="2"/>
      <c r="D9" s="255">
        <f>SUM(D5:D8)</f>
        <v>0</v>
      </c>
      <c r="E9" s="146"/>
      <c r="F9" s="146"/>
      <c r="G9" s="148"/>
    </row>
    <row r="10" spans="2:7" ht="5.25" customHeight="1" thickTop="1" x14ac:dyDescent="0.2">
      <c r="B10" s="149"/>
      <c r="C10" s="148"/>
      <c r="D10" s="146"/>
      <c r="E10" s="146"/>
      <c r="F10" s="146"/>
      <c r="G10" s="148"/>
    </row>
    <row r="11" spans="2:7" x14ac:dyDescent="0.2">
      <c r="B11" s="150"/>
      <c r="C11" s="148"/>
      <c r="D11" s="146"/>
      <c r="E11" s="146"/>
      <c r="F11" s="146"/>
      <c r="G11" s="148"/>
    </row>
    <row r="12" spans="2:7" x14ac:dyDescent="0.2">
      <c r="B12" s="150"/>
      <c r="C12" s="146"/>
      <c r="D12" s="146"/>
      <c r="E12" s="146"/>
      <c r="F12" s="146"/>
      <c r="G12" s="148"/>
    </row>
    <row r="13" spans="2:7" x14ac:dyDescent="0.2">
      <c r="B13" s="150"/>
      <c r="C13" s="146"/>
      <c r="D13" s="259"/>
      <c r="E13" s="146"/>
      <c r="F13" s="146"/>
      <c r="G13" s="148"/>
    </row>
    <row r="14" spans="2:7" x14ac:dyDescent="0.2">
      <c r="B14" s="150"/>
      <c r="C14" s="146"/>
      <c r="D14" s="146"/>
      <c r="E14" s="146"/>
      <c r="F14" s="146"/>
      <c r="G14" s="148"/>
    </row>
    <row r="15" spans="2:7" x14ac:dyDescent="0.2">
      <c r="B15" s="151"/>
      <c r="C15" s="146"/>
      <c r="D15" s="146"/>
      <c r="E15" s="146"/>
      <c r="F15" s="146"/>
      <c r="G15" s="148"/>
    </row>
    <row r="16" spans="2:7" x14ac:dyDescent="0.2">
      <c r="B16" s="150"/>
      <c r="C16" s="146"/>
      <c r="D16" s="146"/>
      <c r="E16" s="146"/>
      <c r="F16" s="146"/>
      <c r="G16" s="148"/>
    </row>
    <row r="17" spans="2:7" x14ac:dyDescent="0.2">
      <c r="B17" s="150"/>
      <c r="C17" s="146"/>
      <c r="D17" s="146"/>
      <c r="E17" s="146"/>
      <c r="F17" s="146"/>
      <c r="G17" s="148"/>
    </row>
    <row r="18" spans="2:7" x14ac:dyDescent="0.2">
      <c r="B18" s="151"/>
      <c r="C18" s="146"/>
      <c r="D18" s="146"/>
      <c r="E18" s="146"/>
      <c r="F18" s="146"/>
      <c r="G18" s="148"/>
    </row>
    <row r="19" spans="2:7" x14ac:dyDescent="0.2">
      <c r="B19" s="150"/>
      <c r="C19" s="146"/>
      <c r="D19" s="146"/>
      <c r="E19" s="146"/>
      <c r="F19" s="146"/>
      <c r="G19" s="148"/>
    </row>
    <row r="20" spans="2:7" x14ac:dyDescent="0.2">
      <c r="B20" s="150"/>
      <c r="C20" s="146"/>
      <c r="D20" s="146"/>
      <c r="E20" s="146"/>
      <c r="F20" s="146"/>
      <c r="G20" s="148"/>
    </row>
    <row r="21" spans="2:7" x14ac:dyDescent="0.2">
      <c r="B21" s="151"/>
      <c r="C21" s="146"/>
      <c r="D21" s="146"/>
      <c r="E21" s="146"/>
      <c r="F21" s="146"/>
      <c r="G21" s="148"/>
    </row>
    <row r="22" spans="2:7" x14ac:dyDescent="0.2">
      <c r="B22" s="149"/>
      <c r="C22" s="146"/>
      <c r="D22" s="146"/>
      <c r="E22" s="146"/>
      <c r="F22" s="146"/>
      <c r="G22" s="146"/>
    </row>
    <row r="23" spans="2:7" x14ac:dyDescent="0.2">
      <c r="B23" s="146"/>
    </row>
    <row r="25" spans="2:7" x14ac:dyDescent="0.2">
      <c r="B25" s="146"/>
    </row>
  </sheetData>
  <sheetProtection algorithmName="SHA-512" hashValue="eLSuk4UhhUG8ftQRfsrMiW8dfpviGrq9A+Lpuh+gVBn0TeAXk37Ix/E/sbnzsG5OSuDMt4mZneSo38sqdclC3A==" saltValue="k7nsA5XYzy0NIQW3qOgooQ==" spinCount="100000" sheet="1" objects="1" scenarios="1"/>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G29"/>
  <sheetViews>
    <sheetView tabSelected="1" view="pageBreakPreview" zoomScale="130" zoomScaleNormal="100" zoomScaleSheetLayoutView="130" workbookViewId="0">
      <selection activeCell="J9" sqref="J9"/>
    </sheetView>
  </sheetViews>
  <sheetFormatPr defaultColWidth="8.88671875" defaultRowHeight="15" x14ac:dyDescent="0.2"/>
  <cols>
    <col min="1" max="1" width="39" style="34" customWidth="1"/>
    <col min="2" max="2" width="1" style="34" customWidth="1"/>
    <col min="3" max="3" width="11.77734375" style="34" customWidth="1"/>
    <col min="4" max="4" width="2.33203125" style="34" customWidth="1"/>
    <col min="5" max="5" width="11.44140625" style="34" customWidth="1"/>
    <col min="6" max="7" width="11.21875" style="34" bestFit="1" customWidth="1"/>
    <col min="8" max="16384" width="8.88671875" style="34"/>
  </cols>
  <sheetData>
    <row r="1" spans="1:7" ht="15.75" x14ac:dyDescent="0.25">
      <c r="A1" s="256" t="s">
        <v>343</v>
      </c>
    </row>
    <row r="2" spans="1:7" ht="18" x14ac:dyDescent="0.25">
      <c r="A2" s="257" t="s">
        <v>6</v>
      </c>
      <c r="F2" s="145" t="s">
        <v>16</v>
      </c>
    </row>
    <row r="3" spans="1:7" ht="18" x14ac:dyDescent="0.25">
      <c r="A3" s="257"/>
      <c r="C3" s="261" t="s">
        <v>72</v>
      </c>
      <c r="E3" s="261" t="s">
        <v>72</v>
      </c>
      <c r="F3" s="145" t="str">
        <f>'NOL Assoc. w LEA'!F3</f>
        <v>Password for protected sheet: BOE2025</v>
      </c>
    </row>
    <row r="4" spans="1:7" x14ac:dyDescent="0.2">
      <c r="A4" s="257"/>
      <c r="C4" s="261" t="s">
        <v>73</v>
      </c>
      <c r="E4" s="261" t="s">
        <v>74</v>
      </c>
    </row>
    <row r="5" spans="1:7" ht="15.75" thickBot="1" x14ac:dyDescent="0.25">
      <c r="B5" s="262"/>
      <c r="C5" s="152" t="s">
        <v>69</v>
      </c>
      <c r="E5" s="152" t="s">
        <v>68</v>
      </c>
    </row>
    <row r="6" spans="1:7" x14ac:dyDescent="0.2">
      <c r="B6" s="262"/>
      <c r="C6" s="261"/>
      <c r="E6" s="261"/>
    </row>
    <row r="7" spans="1:7" x14ac:dyDescent="0.2">
      <c r="A7" s="146" t="s">
        <v>479</v>
      </c>
      <c r="B7" s="258"/>
      <c r="C7" s="397">
        <f>IF('GASB 75 JEs'!J7="LEA",ROUND('Net LEA Amounts'!I33,0),IF('GASB 75 JEs'!J7="MCVC",ROUND('Net LEA Amounts'!I29,0),0))</f>
        <v>0</v>
      </c>
      <c r="D7" s="492"/>
      <c r="E7" s="397">
        <f>IF('GASB 75 JEs'!J7="LEA",ROUND('Net LEA Amounts'!R33,0),IF('GASB 75 JEs'!J7="MCVC",ROUND('Net LEA Amounts'!R29,0),0))</f>
        <v>0</v>
      </c>
      <c r="F7" s="147"/>
      <c r="G7" s="147"/>
    </row>
    <row r="8" spans="1:7" x14ac:dyDescent="0.2">
      <c r="A8" s="146" t="s">
        <v>481</v>
      </c>
      <c r="B8" s="258"/>
      <c r="C8" s="135">
        <v>0</v>
      </c>
      <c r="D8" s="398"/>
      <c r="E8" s="135">
        <f>IF('GASB 75 JEs'!J7="LEA",ROUND('Net LEA Amounts'!N33,0),IF('GASB 75 JEs'!J7="RESA",ROUND('Net LEA Amounts'!N31,0),IF('GASB 75 JEs'!J7="MCVC",ROUND('Net LEA Amounts'!N29,0),0)))</f>
        <v>0</v>
      </c>
      <c r="F8" s="147"/>
      <c r="G8" s="147"/>
    </row>
    <row r="9" spans="1:7" x14ac:dyDescent="0.2">
      <c r="A9" s="146" t="s">
        <v>70</v>
      </c>
      <c r="B9" s="4"/>
      <c r="C9" s="135"/>
      <c r="D9" s="399"/>
      <c r="E9" s="135"/>
      <c r="F9" s="147"/>
      <c r="G9" s="442"/>
    </row>
    <row r="10" spans="1:7" x14ac:dyDescent="0.2">
      <c r="A10" s="150" t="s">
        <v>71</v>
      </c>
      <c r="B10" s="2"/>
      <c r="C10" s="135">
        <f>IF('GASB 75 JEs'!J7="LEA",ROUND('Net LEA Amounts'!E33,0),IF('GASB 75 JEs'!J7="RESA",ROUND('Net LEA Amounts'!I31,0),IF('GASB 75 JEs'!J7="MCVC",ROUND('Net LEA Amounts'!E29,0),0)))</f>
        <v>0</v>
      </c>
      <c r="D10" s="135"/>
      <c r="E10" s="135">
        <f>IF('GASB 75 JEs'!J7="LEA",ROUND('Net LEA Amounts'!T33,0),IF('GASB 75 JEs'!J7="RESA",ROUND('Net LEA Amounts'!T31,0),IF('GASB 75 JEs'!J7="MCVC",ROUND('Net LEA Amounts'!T29,0),0)))</f>
        <v>0</v>
      </c>
      <c r="F10" s="148"/>
      <c r="G10" s="148">
        <f>SUM(C10:C11)-SUM(E7:E11)</f>
        <v>0</v>
      </c>
    </row>
    <row r="11" spans="1:7" x14ac:dyDescent="0.2">
      <c r="A11" s="146" t="s">
        <v>248</v>
      </c>
      <c r="B11" s="2"/>
      <c r="C11" s="135">
        <f>IF('GASB 75 JEs'!J7="LEA",ROUND('Net LEA Amounts'!G33,0),IF('GASB 75 JEs'!J7="MCVC",ROUND('Net LEA Amounts'!G29,0),0))</f>
        <v>0</v>
      </c>
      <c r="D11" s="135"/>
      <c r="E11" s="135">
        <f>IF('GASB 75 JEs'!J7="LEA",ROUND('Net LEA Amounts'!P33,0),IF('GASB 75 JEs'!J7="RESA",ROUND('Net LEA Amounts'!P31,0),IF('GASB 75 JEs'!J7="MCVC",ROUND('Net LEA Amounts'!P29,0),0)))</f>
        <v>0</v>
      </c>
      <c r="F11" s="148"/>
      <c r="G11" s="148"/>
    </row>
    <row r="12" spans="1:7" hidden="1" x14ac:dyDescent="0.2">
      <c r="A12" s="146" t="str">
        <f>'Net LEA Amounts'!K22</f>
        <v>Reallocation of Opt-Out Employer Change in Proportionate Share</v>
      </c>
      <c r="B12" s="2"/>
      <c r="C12" s="135"/>
      <c r="D12" s="135"/>
      <c r="E12" s="135"/>
      <c r="F12" s="148"/>
      <c r="G12" s="148"/>
    </row>
    <row r="13" spans="1:7" x14ac:dyDescent="0.2">
      <c r="A13" s="146" t="s">
        <v>298</v>
      </c>
      <c r="B13" s="2"/>
      <c r="C13" s="135">
        <f>ROUND('GASB 75 JEs'!D28,0)</f>
        <v>0</v>
      </c>
      <c r="D13" s="135"/>
      <c r="E13" s="135">
        <f>ROUND('GASB 75 JEs'!F28,0)</f>
        <v>0</v>
      </c>
      <c r="F13" s="148"/>
      <c r="G13" s="148"/>
    </row>
    <row r="14" spans="1:7" ht="15.75" thickBot="1" x14ac:dyDescent="0.25">
      <c r="A14" s="661" t="s">
        <v>5</v>
      </c>
      <c r="B14" s="661"/>
      <c r="C14" s="263">
        <f>SUM(C7:C13)</f>
        <v>0</v>
      </c>
      <c r="D14" s="443"/>
      <c r="E14" s="263">
        <f>SUM(E7:E13)</f>
        <v>0</v>
      </c>
      <c r="F14" s="443"/>
      <c r="G14" s="148"/>
    </row>
    <row r="15" spans="1:7" ht="5.25" customHeight="1" thickTop="1" x14ac:dyDescent="0.2">
      <c r="A15" s="150"/>
      <c r="B15" s="148"/>
      <c r="C15" s="444"/>
      <c r="D15" s="146"/>
      <c r="E15" s="146"/>
      <c r="F15" s="146"/>
      <c r="G15" s="148"/>
    </row>
    <row r="16" spans="1:7" x14ac:dyDescent="0.2">
      <c r="A16" s="150"/>
      <c r="B16" s="146"/>
      <c r="C16" s="444"/>
      <c r="D16" s="146"/>
      <c r="E16" s="146"/>
      <c r="F16" s="146"/>
      <c r="G16" s="148"/>
    </row>
    <row r="17" spans="1:7" x14ac:dyDescent="0.2">
      <c r="A17" s="150" t="s">
        <v>201</v>
      </c>
      <c r="B17" s="146"/>
      <c r="C17" s="172">
        <f>'[2]DW Net Position'!$C$45+C12</f>
        <v>0</v>
      </c>
      <c r="D17" s="146"/>
      <c r="E17" s="172">
        <f>'[2]DW Net Position'!$C$82</f>
        <v>0</v>
      </c>
      <c r="F17" s="146"/>
      <c r="G17" s="148"/>
    </row>
    <row r="18" spans="1:7" ht="15.75" thickBot="1" x14ac:dyDescent="0.25">
      <c r="A18" s="153" t="s">
        <v>202</v>
      </c>
      <c r="B18" s="146"/>
      <c r="C18" s="71">
        <f>C14-C17</f>
        <v>0</v>
      </c>
      <c r="E18" s="71">
        <f>E14-E17</f>
        <v>0</v>
      </c>
      <c r="F18" s="146"/>
      <c r="G18" s="148"/>
    </row>
    <row r="19" spans="1:7" ht="15.75" thickTop="1" x14ac:dyDescent="0.2">
      <c r="A19" s="151"/>
      <c r="B19" s="146"/>
      <c r="C19" s="146"/>
      <c r="D19" s="146"/>
      <c r="E19" s="146"/>
      <c r="F19" s="146"/>
      <c r="G19" s="148"/>
    </row>
    <row r="20" spans="1:7" x14ac:dyDescent="0.2">
      <c r="A20" s="150"/>
      <c r="B20" s="146"/>
      <c r="C20" s="146"/>
      <c r="D20" s="146"/>
      <c r="E20" s="146"/>
      <c r="F20" s="146"/>
      <c r="G20" s="148"/>
    </row>
    <row r="21" spans="1:7" x14ac:dyDescent="0.2">
      <c r="A21" s="150"/>
      <c r="B21" s="146"/>
      <c r="C21" s="146"/>
      <c r="D21" s="146"/>
      <c r="E21" s="146"/>
      <c r="F21" s="146"/>
      <c r="G21" s="148"/>
    </row>
    <row r="22" spans="1:7" x14ac:dyDescent="0.2">
      <c r="A22" s="151"/>
      <c r="B22" s="146"/>
      <c r="C22" s="146"/>
      <c r="D22" s="146"/>
      <c r="E22" s="146"/>
      <c r="F22" s="146"/>
      <c r="G22" s="148"/>
    </row>
    <row r="23" spans="1:7" x14ac:dyDescent="0.2">
      <c r="A23" s="150"/>
      <c r="B23" s="146"/>
      <c r="C23" s="146"/>
      <c r="D23" s="146"/>
      <c r="E23" s="146"/>
      <c r="F23" s="146"/>
      <c r="G23" s="148"/>
    </row>
    <row r="24" spans="1:7" x14ac:dyDescent="0.2">
      <c r="A24" s="150"/>
      <c r="B24" s="146"/>
      <c r="C24" s="146"/>
      <c r="D24" s="146"/>
      <c r="E24" s="146"/>
      <c r="F24" s="146"/>
      <c r="G24" s="148"/>
    </row>
    <row r="25" spans="1:7" x14ac:dyDescent="0.2">
      <c r="A25" s="151"/>
      <c r="B25" s="146"/>
      <c r="C25" s="146"/>
      <c r="D25" s="146"/>
      <c r="E25" s="146"/>
      <c r="F25" s="146"/>
      <c r="G25" s="148"/>
    </row>
    <row r="26" spans="1:7" x14ac:dyDescent="0.2">
      <c r="A26" s="149"/>
      <c r="B26" s="146"/>
      <c r="C26" s="146"/>
      <c r="D26" s="146"/>
      <c r="E26" s="146"/>
      <c r="F26" s="146"/>
      <c r="G26" s="146"/>
    </row>
    <row r="27" spans="1:7" x14ac:dyDescent="0.2">
      <c r="A27" s="146"/>
    </row>
    <row r="29" spans="1:7" x14ac:dyDescent="0.2">
      <c r="A29" s="146"/>
    </row>
  </sheetData>
  <sheetProtection algorithmName="SHA-512" hashValue="++CIl8yxXpt+rWXJ/94hpPjhSaaqcEIP1Ojn0a1C4u5n5n9z1fRSDh+K1Cb0n4e0+MLew28rTEe/KE4VIbumxg==" saltValue="eNK9AsByzJmWwmCl0nbDJQ==" spinCount="100000" sheet="1" objects="1" scenarios="1"/>
  <mergeCells count="1">
    <mergeCell ref="A14:B14"/>
  </mergeCells>
  <pageMargins left="0.7" right="0.7" top="0.75" bottom="0.75" header="0.3" footer="0.3"/>
  <pageSetup orientation="portrait" r:id="rId1"/>
  <cellWatches>
    <cellWatch r="C18"/>
    <cellWatch r="E18"/>
  </cellWatch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O33"/>
  <sheetViews>
    <sheetView view="pageBreakPreview" zoomScaleNormal="100" zoomScaleSheetLayoutView="100" workbookViewId="0">
      <selection activeCell="C16" sqref="C16"/>
    </sheetView>
  </sheetViews>
  <sheetFormatPr defaultColWidth="8.88671875" defaultRowHeight="15" x14ac:dyDescent="0.2"/>
  <cols>
    <col min="1" max="1" width="16.21875" style="34" customWidth="1"/>
    <col min="2" max="2" width="1" style="34" customWidth="1"/>
    <col min="3" max="3" width="15.77734375" style="34" customWidth="1"/>
    <col min="4" max="4" width="1.33203125" style="34" customWidth="1"/>
    <col min="5" max="5" width="15.77734375" style="34" customWidth="1"/>
    <col min="6" max="6" width="2.109375" style="34" customWidth="1"/>
    <col min="7" max="7" width="17.44140625" style="34" bestFit="1" customWidth="1"/>
    <col min="8" max="8" width="1" style="34" customWidth="1"/>
    <col min="9" max="9" width="10.6640625" style="34" customWidth="1"/>
    <col min="10" max="10" width="18" style="34" customWidth="1"/>
    <col min="11" max="11" width="1.77734375" style="34" customWidth="1"/>
    <col min="12" max="12" width="19.6640625" style="34" customWidth="1"/>
    <col min="13" max="13" width="2.77734375" style="34" customWidth="1"/>
    <col min="14" max="14" width="14.88671875" style="34" customWidth="1"/>
    <col min="15" max="15" width="4.33203125" style="34" customWidth="1"/>
    <col min="16" max="16384" width="8.88671875" style="34"/>
  </cols>
  <sheetData>
    <row r="1" spans="1:15" ht="15.75" x14ac:dyDescent="0.25">
      <c r="A1" s="256" t="s">
        <v>75</v>
      </c>
    </row>
    <row r="2" spans="1:15" ht="18" x14ac:dyDescent="0.25">
      <c r="A2" s="257" t="s">
        <v>6</v>
      </c>
      <c r="I2" s="145" t="s">
        <v>16</v>
      </c>
    </row>
    <row r="3" spans="1:15" ht="18" x14ac:dyDescent="0.25">
      <c r="A3" s="257"/>
      <c r="C3" s="261"/>
      <c r="E3" s="261"/>
      <c r="F3" s="261"/>
      <c r="I3" s="145" t="str">
        <f>'NOL Assoc. w LEA'!F3</f>
        <v>Password for protected sheet: BOE2025</v>
      </c>
    </row>
    <row r="4" spans="1:15" x14ac:dyDescent="0.2">
      <c r="A4" s="257"/>
      <c r="C4" s="261"/>
      <c r="E4" s="261"/>
      <c r="F4" s="261"/>
    </row>
    <row r="5" spans="1:15" ht="15.75" thickBot="1" x14ac:dyDescent="0.25">
      <c r="A5" s="152" t="s">
        <v>76</v>
      </c>
      <c r="B5" s="262"/>
      <c r="C5" s="261"/>
      <c r="D5" s="262"/>
      <c r="E5" s="261"/>
      <c r="F5" s="261"/>
    </row>
    <row r="6" spans="1:15" x14ac:dyDescent="0.2">
      <c r="A6" s="154">
        <f>'Change in Proportion - LEAs'!C7+1</f>
        <v>2026</v>
      </c>
      <c r="B6" s="264"/>
      <c r="C6" s="265">
        <f t="shared" ref="C6:C11" si="0">I26</f>
        <v>0</v>
      </c>
      <c r="D6" s="264"/>
      <c r="E6" s="265"/>
      <c r="F6" s="265"/>
      <c r="G6" s="147"/>
      <c r="I6" s="155" t="s">
        <v>240</v>
      </c>
      <c r="J6" s="156"/>
      <c r="K6" s="156"/>
      <c r="L6" s="156"/>
      <c r="M6" s="156"/>
      <c r="N6" s="156"/>
      <c r="O6" s="157"/>
    </row>
    <row r="7" spans="1:15" x14ac:dyDescent="0.2">
      <c r="A7" s="154">
        <f>A6+1</f>
        <v>2027</v>
      </c>
      <c r="B7" s="264"/>
      <c r="C7" s="267">
        <f t="shared" si="0"/>
        <v>0</v>
      </c>
      <c r="D7" s="264"/>
      <c r="E7" s="266"/>
      <c r="F7" s="266"/>
      <c r="G7" s="147"/>
      <c r="H7" s="147"/>
      <c r="I7" s="158" t="s">
        <v>219</v>
      </c>
      <c r="O7" s="159"/>
    </row>
    <row r="8" spans="1:15" x14ac:dyDescent="0.2">
      <c r="A8" s="154">
        <f>A7+1</f>
        <v>2028</v>
      </c>
      <c r="B8" s="1"/>
      <c r="C8" s="267">
        <f t="shared" si="0"/>
        <v>0</v>
      </c>
      <c r="D8" s="1"/>
      <c r="E8" s="266"/>
      <c r="F8" s="266"/>
      <c r="H8" s="147"/>
      <c r="I8" s="158" t="s">
        <v>222</v>
      </c>
      <c r="O8" s="159"/>
    </row>
    <row r="9" spans="1:15" x14ac:dyDescent="0.2">
      <c r="A9" s="154">
        <f>A8+1</f>
        <v>2029</v>
      </c>
      <c r="B9" s="266"/>
      <c r="C9" s="267">
        <f t="shared" si="0"/>
        <v>0</v>
      </c>
      <c r="D9" s="266"/>
      <c r="E9" s="266"/>
      <c r="F9" s="266"/>
      <c r="G9" s="146"/>
      <c r="I9" s="158" t="s">
        <v>229</v>
      </c>
      <c r="O9" s="159"/>
    </row>
    <row r="10" spans="1:15" x14ac:dyDescent="0.2">
      <c r="A10" s="154">
        <f>A9+1</f>
        <v>2030</v>
      </c>
      <c r="B10" s="266"/>
      <c r="C10" s="267">
        <f t="shared" si="0"/>
        <v>0</v>
      </c>
      <c r="D10" s="266"/>
      <c r="E10" s="266"/>
      <c r="F10" s="266"/>
      <c r="G10" s="146"/>
      <c r="H10" s="146"/>
      <c r="I10" s="158" t="s">
        <v>223</v>
      </c>
      <c r="O10" s="159"/>
    </row>
    <row r="11" spans="1:15" x14ac:dyDescent="0.2">
      <c r="A11" s="154" t="s">
        <v>77</v>
      </c>
      <c r="B11" s="266"/>
      <c r="C11" s="267">
        <f t="shared" si="0"/>
        <v>0</v>
      </c>
      <c r="D11" s="266"/>
      <c r="E11" s="266"/>
      <c r="F11" s="266"/>
      <c r="G11" s="146"/>
      <c r="H11" s="146"/>
      <c r="I11" s="158" t="s">
        <v>224</v>
      </c>
      <c r="O11" s="159"/>
    </row>
    <row r="12" spans="1:15" ht="15.75" thickBot="1" x14ac:dyDescent="0.25">
      <c r="A12" s="160" t="s">
        <v>5</v>
      </c>
      <c r="B12" s="160"/>
      <c r="C12" s="263">
        <f>SUM(C6:C11)</f>
        <v>0</v>
      </c>
      <c r="D12" s="160"/>
      <c r="E12" s="268"/>
      <c r="F12" s="268"/>
      <c r="G12" s="146"/>
      <c r="H12" s="146"/>
      <c r="I12" s="158" t="s">
        <v>230</v>
      </c>
      <c r="O12" s="159"/>
    </row>
    <row r="13" spans="1:15" ht="15.75" thickTop="1" x14ac:dyDescent="0.2">
      <c r="A13" s="150"/>
      <c r="B13" s="148"/>
      <c r="C13" s="146"/>
      <c r="D13" s="148"/>
      <c r="E13" s="146"/>
      <c r="F13" s="146"/>
      <c r="G13" s="146"/>
      <c r="H13" s="146"/>
      <c r="I13" s="158" t="s">
        <v>225</v>
      </c>
      <c r="O13" s="159"/>
    </row>
    <row r="14" spans="1:15" ht="15.75" thickBot="1" x14ac:dyDescent="0.25">
      <c r="A14" s="150"/>
      <c r="B14" s="148"/>
      <c r="C14" s="400">
        <f>SUM('OPEB Deferred In_outflows'!C7:C12,'OPEB Deferred In_outflows'!C13)-SUM('OPEB Deferred In_outflows'!E7:E12,'OPEB Deferred In_outflows'!E13)</f>
        <v>0</v>
      </c>
      <c r="D14" s="148" t="s">
        <v>220</v>
      </c>
      <c r="E14" s="146"/>
      <c r="F14" s="146"/>
      <c r="G14" s="146"/>
      <c r="H14" s="146"/>
      <c r="I14" s="161" t="s">
        <v>241</v>
      </c>
      <c r="J14" s="162"/>
      <c r="K14" s="162"/>
      <c r="L14" s="162"/>
      <c r="M14" s="162"/>
      <c r="N14" s="162"/>
      <c r="O14" s="163"/>
    </row>
    <row r="15" spans="1:15" x14ac:dyDescent="0.2">
      <c r="A15" s="171"/>
      <c r="B15" s="148"/>
      <c r="C15" s="6">
        <f>-'GASB 75 JEs'!D28</f>
        <v>0</v>
      </c>
      <c r="D15" s="148" t="s">
        <v>227</v>
      </c>
      <c r="F15" s="146"/>
      <c r="G15" s="146"/>
      <c r="H15" s="146"/>
      <c r="I15" s="148"/>
    </row>
    <row r="16" spans="1:15" x14ac:dyDescent="0.2">
      <c r="A16" s="150"/>
      <c r="B16" s="148"/>
      <c r="C16" s="3">
        <f>SUM(C14:C15)</f>
        <v>0</v>
      </c>
      <c r="D16" s="148" t="s">
        <v>226</v>
      </c>
      <c r="F16" s="146"/>
      <c r="G16" s="146"/>
      <c r="H16" s="146"/>
      <c r="I16" s="148"/>
    </row>
    <row r="17" spans="1:9" ht="15.75" thickBot="1" x14ac:dyDescent="0.25">
      <c r="A17" s="150"/>
      <c r="B17" s="148"/>
      <c r="C17" s="18">
        <f>C12-C16</f>
        <v>0</v>
      </c>
      <c r="D17" s="148" t="s">
        <v>221</v>
      </c>
      <c r="E17" s="146"/>
      <c r="F17" s="146"/>
      <c r="G17" s="146"/>
      <c r="H17" s="146"/>
      <c r="I17" s="148"/>
    </row>
    <row r="18" spans="1:9" ht="15.75" thickTop="1" x14ac:dyDescent="0.2">
      <c r="A18" s="150"/>
      <c r="B18" s="146"/>
      <c r="C18" s="170"/>
      <c r="D18" s="146"/>
      <c r="E18" s="148"/>
      <c r="F18" s="148"/>
      <c r="H18" s="146"/>
      <c r="I18" s="148"/>
    </row>
    <row r="20" spans="1:9" x14ac:dyDescent="0.2">
      <c r="C20" s="164" t="s">
        <v>206</v>
      </c>
      <c r="E20" s="164" t="s">
        <v>206</v>
      </c>
      <c r="G20" s="164" t="s">
        <v>206</v>
      </c>
    </row>
    <row r="21" spans="1:9" x14ac:dyDescent="0.2">
      <c r="C21" s="164" t="s">
        <v>207</v>
      </c>
      <c r="E21" s="164" t="s">
        <v>207</v>
      </c>
      <c r="G21" s="164" t="s">
        <v>207</v>
      </c>
      <c r="H21" s="164"/>
    </row>
    <row r="22" spans="1:9" x14ac:dyDescent="0.2">
      <c r="C22" s="164" t="s">
        <v>208</v>
      </c>
      <c r="E22" s="164" t="s">
        <v>209</v>
      </c>
      <c r="G22" s="164" t="s">
        <v>209</v>
      </c>
      <c r="H22" s="164"/>
    </row>
    <row r="23" spans="1:9" x14ac:dyDescent="0.2">
      <c r="C23" s="164" t="s">
        <v>204</v>
      </c>
      <c r="E23" s="164" t="s">
        <v>210</v>
      </c>
      <c r="G23" s="164" t="s">
        <v>483</v>
      </c>
      <c r="H23" s="164"/>
      <c r="I23" s="164" t="s">
        <v>212</v>
      </c>
    </row>
    <row r="24" spans="1:9" ht="15.75" thickBot="1" x14ac:dyDescent="0.25">
      <c r="A24" s="152" t="s">
        <v>76</v>
      </c>
      <c r="C24" s="165" t="s">
        <v>205</v>
      </c>
      <c r="E24" s="165" t="s">
        <v>211</v>
      </c>
      <c r="G24" s="165" t="s">
        <v>484</v>
      </c>
      <c r="H24" s="164"/>
      <c r="I24" s="165" t="s">
        <v>213</v>
      </c>
    </row>
    <row r="25" spans="1:9" x14ac:dyDescent="0.2">
      <c r="A25" s="154"/>
      <c r="C25" s="24"/>
      <c r="D25" s="24"/>
      <c r="E25" s="24"/>
      <c r="F25" s="24"/>
      <c r="H25" s="164"/>
      <c r="I25" s="24"/>
    </row>
    <row r="26" spans="1:9" x14ac:dyDescent="0.2">
      <c r="A26" s="154">
        <f>'Change in Proportion - LEAs'!C7+1</f>
        <v>2026</v>
      </c>
      <c r="C26" s="72">
        <f>IF('GASB 75 JEs'!$J$7="LEA",'Change in Proportion - LEAs'!C76,IF('GASB 75 JEs'!$J$7="RESA",'Change in Proportion - RESAs'!C71,IF('GASB 75 JEs'!$J$7="MCVC",'Change in Proportion - MCVCs'!C75,0)))</f>
        <v>0</v>
      </c>
      <c r="D26" s="72"/>
      <c r="E26" s="72">
        <f>IF('GASB 75 JEs'!$J$7="LEA",ROUND('Amortization Input CY'!F16,0),IF('GASB 75 JEs'!$J$7="RESA",ROUND('Amortization Input CY'!H16,0),IF('GASB 75 JEs'!$J$7="MCVC",ROUND('Amortization Input CY'!J16,0))))</f>
        <v>0</v>
      </c>
      <c r="F26" s="72"/>
      <c r="G26" s="403">
        <f>'OPEB Deferred In_outflows'!C12-'OPEB Deferred In_outflows'!E12</f>
        <v>0</v>
      </c>
      <c r="H26" s="24"/>
      <c r="I26" s="72">
        <f>SUM(C26:G26)</f>
        <v>0</v>
      </c>
    </row>
    <row r="27" spans="1:9" x14ac:dyDescent="0.2">
      <c r="A27" s="154">
        <f>A26+1</f>
        <v>2027</v>
      </c>
      <c r="C27" s="72">
        <f>IF('GASB 75 JEs'!$J$7="LEA",'Change in Proportion - LEAs'!C77,IF('GASB 75 JEs'!$J$7="RESA",'Change in Proportion - RESAs'!C72,IF('GASB 75 JEs'!$J$7="MCVC",'Change in Proportion - MCVCs'!C76,0)))</f>
        <v>0</v>
      </c>
      <c r="D27" s="72"/>
      <c r="E27" s="72">
        <f>IF('GASB 75 JEs'!$J$7="LEA",ROUND('Amortization Input CY'!F17,0),IF('GASB 75 JEs'!$J$7="RESA",ROUND('Amortization Input CY'!H17,0),IF('GASB 75 JEs'!$J$7="MCVC",ROUND('Amortization Input CY'!J17,0))))</f>
        <v>0</v>
      </c>
      <c r="F27" s="72"/>
      <c r="H27" s="72"/>
      <c r="I27" s="72">
        <f>SUM(C27:E27)</f>
        <v>0</v>
      </c>
    </row>
    <row r="28" spans="1:9" x14ac:dyDescent="0.2">
      <c r="A28" s="154">
        <f>A27+1</f>
        <v>2028</v>
      </c>
      <c r="C28" s="72">
        <f>IF('GASB 75 JEs'!$J$7="LEA",'Change in Proportion - LEAs'!C78,IF('GASB 75 JEs'!$J$7="RESA",'Change in Proportion - RESAs'!C73,IF('GASB 75 JEs'!$J$7="MCVC",'Change in Proportion - MCVCs'!C77,0)))</f>
        <v>0</v>
      </c>
      <c r="D28" s="72"/>
      <c r="E28" s="72">
        <f>IF('GASB 75 JEs'!$J$7="LEA",ROUND('Amortization Input CY'!F18,0),IF('GASB 75 JEs'!$J$7="RESA",ROUND('Amortization Input CY'!H18,0),IF('GASB 75 JEs'!$J$7="MCVC",ROUND('Amortization Input CY'!J18,0))))</f>
        <v>0</v>
      </c>
      <c r="F28" s="72"/>
      <c r="H28" s="72"/>
      <c r="I28" s="72">
        <f>SUM(C28:E28)</f>
        <v>0</v>
      </c>
    </row>
    <row r="29" spans="1:9" x14ac:dyDescent="0.2">
      <c r="A29" s="154">
        <f>A28+1</f>
        <v>2029</v>
      </c>
      <c r="C29" s="72">
        <f>IF('GASB 75 JEs'!$J$7="LEA",'Change in Proportion - LEAs'!C79,IF('GASB 75 JEs'!$J$7="RESA",'Change in Proportion - RESAs'!C74,IF('GASB 75 JEs'!$J$7="MCVC",'Change in Proportion - MCVCs'!C78,0)))</f>
        <v>0</v>
      </c>
      <c r="D29" s="72"/>
      <c r="E29" s="72">
        <f>IF('GASB 75 JEs'!$J$7="LEA",ROUND('Amortization Input CY'!F19,0),IF('GASB 75 JEs'!$J$7="RESA",ROUND('Amortization Input CY'!H19,0),IF('GASB 75 JEs'!$J$7="MCVC",ROUND('Amortization Input CY'!J19,0))))</f>
        <v>0</v>
      </c>
      <c r="F29" s="72"/>
      <c r="H29" s="72"/>
      <c r="I29" s="72">
        <f>SUM(C29:E29)</f>
        <v>0</v>
      </c>
    </row>
    <row r="30" spans="1:9" x14ac:dyDescent="0.2">
      <c r="A30" s="154">
        <f>A29+1</f>
        <v>2030</v>
      </c>
      <c r="C30" s="72">
        <f>IF('GASB 75 JEs'!$J$7="LEA",'Change in Proportion - LEAs'!C80,IF('GASB 75 JEs'!$J$7="RESA",'Change in Proportion - RESAs'!C75,IF('GASB 75 JEs'!$J$7="MCVC",'Change in Proportion - MCVCs'!C79,0)))</f>
        <v>0</v>
      </c>
      <c r="D30" s="72"/>
      <c r="E30" s="72">
        <f>IF('GASB 75 JEs'!$J$7="LEA",ROUND('Amortization Input CY'!F20,0),IF('GASB 75 JEs'!$J$7="RESA",ROUND('Amortization Input CY'!H20,0),IF('GASB 75 JEs'!$J$7="MCVC",ROUND('Amortization Input CY'!J20,0))))</f>
        <v>0</v>
      </c>
      <c r="F30" s="72"/>
      <c r="H30" s="72"/>
      <c r="I30" s="72">
        <f>SUM(C30:E30)</f>
        <v>0</v>
      </c>
    </row>
    <row r="31" spans="1:9" x14ac:dyDescent="0.2">
      <c r="A31" s="154" t="s">
        <v>77</v>
      </c>
      <c r="C31" s="72">
        <f>IF('GASB 75 JEs'!$J$7="LEA",'Change in Proportion - LEAs'!C81,IF('GASB 75 JEs'!$J$7="RESA",'Change in Proportion - RESAs'!C76,IF('GASB 75 JEs'!$J$7="MCVC",'Change in Proportion - MCVCs'!C80,0)))</f>
        <v>0</v>
      </c>
      <c r="D31" s="72"/>
      <c r="E31" s="72">
        <f>IF('GASB 75 JEs'!$J$7="LEA",ROUND('Amortization Input CY'!F21,0),IF('GASB 75 JEs'!$J$7="RESA",ROUND('Amortization Input CY'!H21,0),IF('GASB 75 JEs'!$J$7="MCVC",ROUND('Amortization Input CY'!J21,0))))</f>
        <v>0</v>
      </c>
      <c r="F31" s="72"/>
      <c r="H31" s="72"/>
      <c r="I31" s="72">
        <f>SUM(C31:E31)</f>
        <v>0</v>
      </c>
    </row>
    <row r="32" spans="1:9" ht="15.75" thickBot="1" x14ac:dyDescent="0.25">
      <c r="A32" s="160" t="s">
        <v>5</v>
      </c>
      <c r="C32" s="73">
        <f>SUM(C25:C31)</f>
        <v>0</v>
      </c>
      <c r="D32" s="72"/>
      <c r="E32" s="73">
        <f>SUM(E25:E31)</f>
        <v>0</v>
      </c>
      <c r="F32" s="72"/>
      <c r="H32" s="72"/>
      <c r="I32" s="73">
        <f>SUM(I25:I31)</f>
        <v>0</v>
      </c>
    </row>
    <row r="33" spans="8:8" ht="15.75" thickTop="1" x14ac:dyDescent="0.2">
      <c r="H33" s="78"/>
    </row>
  </sheetData>
  <sheetProtection algorithmName="SHA-512" hashValue="PZlKOAAhc7klqRkse8C2kLYt35ALUTevimKov/GusqBms0hBwNCJXtZqdeLy0A1v0BNSzkExJhXAwXNxTuhj1g==" saltValue="zK15FC2z3FB7mOZnx5+slw==" spinCount="100000" sheet="1" objects="1" scenarios="1"/>
  <pageMargins left="0.7" right="0.7" top="0.75" bottom="0.75" header="0.3" footer="0.3"/>
  <pageSetup orientation="portrait" r:id="rId1"/>
  <cellWatches>
    <cellWatch r="C17"/>
  </cellWatch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I9"/>
  <sheetViews>
    <sheetView view="pageBreakPreview" zoomScale="115" zoomScaleNormal="100" zoomScaleSheetLayoutView="115" workbookViewId="0">
      <selection activeCell="G8" sqref="G8"/>
    </sheetView>
  </sheetViews>
  <sheetFormatPr defaultColWidth="8.88671875" defaultRowHeight="15" x14ac:dyDescent="0.2"/>
  <cols>
    <col min="1" max="1" width="23.5546875" style="34" customWidth="1"/>
    <col min="2" max="2" width="1" style="34" customWidth="1"/>
    <col min="3" max="3" width="11.21875" style="34" customWidth="1"/>
    <col min="4" max="4" width="1" style="34" customWidth="1"/>
    <col min="5" max="5" width="11.21875" style="34" customWidth="1"/>
    <col min="6" max="6" width="1" style="34" customWidth="1"/>
    <col min="7" max="7" width="11.21875" style="34" customWidth="1"/>
    <col min="8" max="8" width="1.33203125" style="34" customWidth="1"/>
    <col min="9" max="9" width="8.88671875" style="34"/>
    <col min="10" max="10" width="19.77734375" style="34" customWidth="1"/>
    <col min="11" max="11" width="2.33203125" style="34" customWidth="1"/>
    <col min="12" max="12" width="18" style="34" customWidth="1"/>
    <col min="13" max="13" width="1.77734375" style="34" customWidth="1"/>
    <col min="14" max="14" width="19.6640625" style="34" customWidth="1"/>
    <col min="15" max="15" width="8.88671875" style="34"/>
    <col min="16" max="16" width="20.44140625" style="34" customWidth="1"/>
    <col min="17" max="16384" width="8.88671875" style="34"/>
  </cols>
  <sheetData>
    <row r="1" spans="1:9" ht="15.75" x14ac:dyDescent="0.25">
      <c r="A1" s="256" t="s">
        <v>262</v>
      </c>
    </row>
    <row r="2" spans="1:9" ht="18" x14ac:dyDescent="0.25">
      <c r="A2" s="257" t="s">
        <v>6</v>
      </c>
      <c r="I2" s="145" t="s">
        <v>16</v>
      </c>
    </row>
    <row r="3" spans="1:9" ht="18" x14ac:dyDescent="0.25">
      <c r="A3" s="257"/>
      <c r="C3" s="261"/>
      <c r="E3" s="261"/>
      <c r="G3" s="261"/>
      <c r="I3" s="145" t="str">
        <f>'Amort. of Def. Amounts'!I3</f>
        <v>Password for protected sheet: BOE2025</v>
      </c>
    </row>
    <row r="4" spans="1:9" x14ac:dyDescent="0.2">
      <c r="A4" s="257"/>
      <c r="C4" s="261" t="s">
        <v>78</v>
      </c>
      <c r="E4" s="261" t="s">
        <v>228</v>
      </c>
      <c r="G4" s="261" t="s">
        <v>81</v>
      </c>
    </row>
    <row r="5" spans="1:9" ht="15.75" thickBot="1" x14ac:dyDescent="0.25">
      <c r="A5" s="152"/>
      <c r="B5" s="152"/>
      <c r="C5" s="269">
        <f>E5-0.01</f>
        <v>6.4000000000000001E-2</v>
      </c>
      <c r="D5" s="152"/>
      <c r="E5" s="270">
        <f>'GASB 75 Sch Input CY'!F48</f>
        <v>7.3999999999999996E-2</v>
      </c>
      <c r="F5" s="152"/>
      <c r="G5" s="269">
        <f>E5+0.01</f>
        <v>8.3999999999999991E-2</v>
      </c>
    </row>
    <row r="6" spans="1:9" x14ac:dyDescent="0.2">
      <c r="B6" s="262"/>
      <c r="C6" s="261"/>
      <c r="D6" s="262"/>
      <c r="E6" s="261"/>
      <c r="F6" s="262"/>
      <c r="G6" s="261"/>
    </row>
    <row r="7" spans="1:9" x14ac:dyDescent="0.2">
      <c r="A7" s="252" t="s">
        <v>79</v>
      </c>
      <c r="B7" s="264"/>
      <c r="C7" s="265"/>
      <c r="D7" s="264"/>
      <c r="E7" s="265"/>
      <c r="F7" s="264"/>
      <c r="G7" s="265"/>
      <c r="H7" s="147"/>
      <c r="I7" s="147"/>
    </row>
    <row r="8" spans="1:9" ht="15.75" thickBot="1" x14ac:dyDescent="0.25">
      <c r="A8" s="271" t="s">
        <v>565</v>
      </c>
      <c r="B8" s="272"/>
      <c r="C8" s="273">
        <f>IF('GASB 75 JEs'!$J$7="LEA",'GASB 75 Sch Input CY'!$F$50*'Net LEA Amounts'!L13,IF('GASB 75 JEs'!$J$7="RESA",'GASB 75 Sch Input CY'!$F$50*'Net LEA Amounts'!#REF!,IF('GASB 75 JEs'!$J$7="MCVC",'GASB 75 Sch Input CY'!$F$50*'Net LEA Amounts'!G13,0)))</f>
        <v>0</v>
      </c>
      <c r="D8" s="272"/>
      <c r="E8" s="273">
        <f>IF('GASB 75 JEs'!$J$7="LEA",'GASB 75 Sch Input CY'!$B$21*'Net LEA Amounts'!L13,IF('GASB 75 JEs'!$J$7="RESA",'GASB 75 Sch Input CY'!$B$21*'Net LEA Amounts'!#REF!,IF('GASB 75 JEs'!$J$7="MCVC",'GASB 75 Sch Input CY'!$B$21*'Net LEA Amounts'!G13,0)))</f>
        <v>0</v>
      </c>
      <c r="F8" s="272"/>
      <c r="G8" s="273">
        <f>IF('GASB 75 JEs'!$J$7="LEA",'GASB 75 Sch Input CY'!$F$51*'Net LEA Amounts'!L13,IF('GASB 75 JEs'!$J$7="RESA",'GASB 75 Sch Input CY'!$F$51*'Net LEA Amounts'!#REF!,IF('GASB 75 JEs'!$J$7="MCVC",'GASB 75 Sch Input CY'!$F$51*'Net LEA Amounts'!G13,0)))</f>
        <v>0</v>
      </c>
      <c r="H8" s="147"/>
      <c r="I8" s="147"/>
    </row>
    <row r="9" spans="1:9" ht="6.75" customHeight="1" x14ac:dyDescent="0.2">
      <c r="A9" s="150"/>
      <c r="B9" s="146"/>
      <c r="C9" s="146"/>
      <c r="D9" s="146"/>
      <c r="E9" s="146"/>
      <c r="F9" s="146"/>
      <c r="G9" s="146"/>
      <c r="H9" s="146"/>
      <c r="I9" s="148"/>
    </row>
  </sheetData>
  <sheetProtection algorithmName="SHA-512" hashValue="jjsvpVsrpzZKM6vjQCRDP2xxZZYKgRvxSgDYcXPZW7C+q3JS3t2n6JVdA8A+7DdPp5tlW8ZayXptkONCRbBe5Q==" saltValue="tmy3VoxeH0now6Lgnryqbw==" spinCount="100000" sheet="1" objects="1" scenarios="1"/>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J10"/>
  <sheetViews>
    <sheetView view="pageBreakPreview" zoomScale="115" zoomScaleNormal="100" zoomScaleSheetLayoutView="115" workbookViewId="0">
      <selection activeCell="F17" sqref="F17"/>
    </sheetView>
  </sheetViews>
  <sheetFormatPr defaultColWidth="8.88671875" defaultRowHeight="15" x14ac:dyDescent="0.2"/>
  <cols>
    <col min="1" max="1" width="19.21875" style="34" customWidth="1"/>
    <col min="2" max="2" width="3.6640625" style="34" customWidth="1"/>
    <col min="3" max="3" width="11.21875" style="34" customWidth="1"/>
    <col min="4" max="4" width="4.5546875" style="34" customWidth="1"/>
    <col min="5" max="5" width="9.5546875" style="34" customWidth="1"/>
    <col min="6" max="6" width="4.44140625" style="34" customWidth="1"/>
    <col min="7" max="7" width="10.33203125" style="34" customWidth="1"/>
    <col min="8" max="8" width="2.77734375" style="34" customWidth="1"/>
    <col min="9" max="9" width="8.88671875" style="34"/>
    <col min="10" max="10" width="19.77734375" style="34" customWidth="1"/>
    <col min="11" max="11" width="2.33203125" style="34" customWidth="1"/>
    <col min="12" max="12" width="18" style="34" customWidth="1"/>
    <col min="13" max="13" width="1.77734375" style="34" customWidth="1"/>
    <col min="14" max="14" width="19.6640625" style="34" customWidth="1"/>
    <col min="15" max="15" width="8.88671875" style="34"/>
    <col min="16" max="16" width="20.44140625" style="34" customWidth="1"/>
    <col min="17" max="16384" width="8.88671875" style="34"/>
  </cols>
  <sheetData>
    <row r="1" spans="1:10" ht="15.75" x14ac:dyDescent="0.25">
      <c r="A1" s="256" t="s">
        <v>261</v>
      </c>
    </row>
    <row r="2" spans="1:10" ht="18" x14ac:dyDescent="0.25">
      <c r="A2" s="257" t="s">
        <v>6</v>
      </c>
      <c r="I2" s="145" t="s">
        <v>16</v>
      </c>
    </row>
    <row r="3" spans="1:10" ht="18" x14ac:dyDescent="0.25">
      <c r="A3" s="257"/>
      <c r="I3" s="145"/>
    </row>
    <row r="4" spans="1:10" ht="18" x14ac:dyDescent="0.25">
      <c r="A4" s="257"/>
      <c r="E4" s="261"/>
      <c r="I4" s="145" t="str">
        <f>'NOL Assoc. w LEA'!F3</f>
        <v>Password for protected sheet: BOE2025</v>
      </c>
    </row>
    <row r="5" spans="1:10" ht="45.75" thickBot="1" x14ac:dyDescent="0.25">
      <c r="A5" s="274"/>
      <c r="B5" s="162"/>
      <c r="C5" s="152" t="s">
        <v>299</v>
      </c>
      <c r="D5" s="152"/>
      <c r="E5" s="283" t="s">
        <v>363</v>
      </c>
      <c r="F5" s="152"/>
      <c r="G5" s="152" t="s">
        <v>300</v>
      </c>
    </row>
    <row r="6" spans="1:10" x14ac:dyDescent="0.2">
      <c r="A6" s="261"/>
      <c r="B6" s="261"/>
      <c r="C6" s="261"/>
      <c r="D6" s="261"/>
      <c r="E6" s="261"/>
      <c r="F6" s="261"/>
      <c r="G6" s="261"/>
    </row>
    <row r="7" spans="1:10" x14ac:dyDescent="0.2">
      <c r="A7" s="252" t="s">
        <v>271</v>
      </c>
      <c r="B7" s="262"/>
      <c r="C7" s="261"/>
      <c r="D7" s="262"/>
      <c r="E7" s="261"/>
      <c r="F7" s="262"/>
      <c r="G7" s="261"/>
      <c r="J7" s="34" t="s">
        <v>301</v>
      </c>
    </row>
    <row r="8" spans="1:10" x14ac:dyDescent="0.2">
      <c r="A8" s="252" t="s">
        <v>344</v>
      </c>
      <c r="B8" s="264"/>
      <c r="C8" s="265"/>
      <c r="D8" s="264"/>
      <c r="E8" s="265"/>
      <c r="F8" s="264"/>
      <c r="G8" s="265"/>
      <c r="H8" s="147"/>
      <c r="I8" s="147"/>
    </row>
    <row r="9" spans="1:10" ht="15.75" thickBot="1" x14ac:dyDescent="0.25">
      <c r="A9" s="271" t="s">
        <v>566</v>
      </c>
      <c r="B9" s="272"/>
      <c r="C9" s="273">
        <f>IF('GASB 75 JEs'!$J$7="LEA",'GASB 75 Sch Input CY'!$F$53*'Net LEA Amounts'!L13,IF('GASB 75 JEs'!$J$7="RESA",'GASB 75 Sch Input CY'!$F$53*'Net LEA Amounts'!#REF!,IF('GASB 75 JEs'!$J$7="MCVC",'GASB 75 Sch Input CY'!$F$53*'Net LEA Amounts'!G13,0)))</f>
        <v>0</v>
      </c>
      <c r="D9" s="272"/>
      <c r="E9" s="273">
        <f>IF('GASB 75 JEs'!$J$7="LEA",'GASB 75 Sch Input CY'!$B$21*'Net LEA Amounts'!L13,IF('GASB 75 JEs'!$J$7="RESA",'GASB 75 Sch Input CY'!$B$21*'Net LEA Amounts'!#REF!,IF('GASB 75 JEs'!$J$7="MCVC",'GASB 75 Sch Input CY'!$B$21*'Net LEA Amounts'!G13,0)))</f>
        <v>0</v>
      </c>
      <c r="F9" s="272"/>
      <c r="G9" s="273">
        <f>IF('GASB 75 JEs'!$J$7="LEA",'GASB 75 Sch Input CY'!$F$54*'Net LEA Amounts'!L13,IF('GASB 75 JEs'!$J$7="RESA",'GASB 75 Sch Input CY'!$F$54*'Net LEA Amounts'!#REF!,IF('GASB 75 JEs'!$J$7="MCVC",'GASB 75 Sch Input CY'!$F$54*'Net LEA Amounts'!G13,0)))</f>
        <v>0</v>
      </c>
      <c r="H9" s="147"/>
      <c r="I9" s="147"/>
    </row>
    <row r="10" spans="1:10" ht="6.75" customHeight="1" x14ac:dyDescent="0.2">
      <c r="A10" s="150"/>
      <c r="B10" s="146"/>
      <c r="C10" s="146"/>
      <c r="D10" s="146"/>
      <c r="E10" s="146"/>
      <c r="F10" s="146"/>
      <c r="G10" s="146"/>
      <c r="H10" s="146"/>
      <c r="I10" s="148"/>
    </row>
  </sheetData>
  <sheetProtection algorithmName="SHA-512" hashValue="kT+6HHAH+s0K5nAXs6eOWlsjB364stVzfL6LBFsURxEAq0azjmTwNAf+A9LRctgZ5yJuoplHpJyQYUQuLa6WIw==" saltValue="qOQq4XmSy0bkzpc1c33PMQ==" spinCount="100000" sheet="1" objects="1" scenarios="1"/>
  <pageMargins left="0.7" right="0.7" top="0.75" bottom="0.75" header="0.3" footer="0.3"/>
  <pageSetup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0.499984740745262"/>
  </sheetPr>
  <dimension ref="A1:V46"/>
  <sheetViews>
    <sheetView view="pageBreakPreview" zoomScale="115" zoomScaleNormal="75" zoomScaleSheetLayoutView="115" workbookViewId="0">
      <selection activeCell="P14" sqref="P14"/>
    </sheetView>
  </sheetViews>
  <sheetFormatPr defaultColWidth="9.77734375" defaultRowHeight="12.75" x14ac:dyDescent="0.2"/>
  <cols>
    <col min="1" max="1" width="56.21875" style="10" customWidth="1"/>
    <col min="2" max="2" width="12.6640625" style="10" customWidth="1"/>
    <col min="3" max="3" width="2.6640625" style="10" customWidth="1"/>
    <col min="4" max="4" width="13.33203125" style="10" customWidth="1"/>
    <col min="5" max="5" width="2.6640625" style="10" customWidth="1"/>
    <col min="6" max="6" width="13.33203125" style="10" customWidth="1"/>
    <col min="7" max="7" width="2.6640625" style="10" customWidth="1"/>
    <col min="8" max="8" width="10.77734375" style="10" customWidth="1"/>
    <col min="9" max="9" width="3.109375" style="10" customWidth="1"/>
    <col min="10" max="10" width="10.77734375" style="10" customWidth="1"/>
    <col min="11" max="11" width="2.88671875" style="10" customWidth="1"/>
    <col min="12" max="12" width="10.77734375" style="10" customWidth="1"/>
    <col min="13" max="13" width="2.6640625" style="10" customWidth="1"/>
    <col min="14" max="14" width="12" style="10" customWidth="1"/>
    <col min="15" max="15" width="2.77734375" style="10" customWidth="1"/>
    <col min="16" max="16" width="12" style="10" customWidth="1"/>
    <col min="17" max="17" width="2.77734375" style="10" customWidth="1"/>
    <col min="18" max="16384" width="9.77734375" style="10"/>
  </cols>
  <sheetData>
    <row r="1" spans="1:22" ht="18" customHeight="1" x14ac:dyDescent="0.25">
      <c r="A1" s="664" t="s">
        <v>12</v>
      </c>
      <c r="B1" s="664"/>
      <c r="C1" s="664"/>
      <c r="D1" s="9"/>
      <c r="E1" s="9"/>
      <c r="F1" s="9"/>
      <c r="G1" s="9"/>
      <c r="H1" s="9"/>
      <c r="I1" s="9"/>
      <c r="J1" s="9"/>
      <c r="K1" s="9"/>
      <c r="L1" s="9"/>
      <c r="M1" s="9"/>
      <c r="Q1" s="145"/>
      <c r="R1" s="145" t="str">
        <f>'Sensitivity Analysis Healthcare'!I4</f>
        <v>Password for protected sheet: BOE2025</v>
      </c>
    </row>
    <row r="2" spans="1:22" ht="18" customHeight="1" x14ac:dyDescent="0.25">
      <c r="A2" s="664" t="s">
        <v>15</v>
      </c>
      <c r="B2" s="664"/>
      <c r="C2" s="664"/>
      <c r="D2" s="9"/>
      <c r="E2" s="9"/>
      <c r="F2" s="9"/>
      <c r="G2" s="9"/>
      <c r="H2" s="9"/>
      <c r="I2" s="9"/>
      <c r="J2" s="9"/>
      <c r="K2" s="9"/>
      <c r="L2" s="9"/>
      <c r="M2" s="9"/>
      <c r="N2" s="145"/>
      <c r="O2" s="145"/>
      <c r="P2" s="145"/>
      <c r="Q2" s="145"/>
      <c r="R2" s="145"/>
    </row>
    <row r="3" spans="1:22" ht="12.75" customHeight="1" x14ac:dyDescent="0.25">
      <c r="A3" s="665"/>
      <c r="B3" s="665"/>
      <c r="C3" s="665"/>
      <c r="D3" s="9"/>
      <c r="E3" s="9"/>
      <c r="F3" s="9"/>
      <c r="G3" s="9"/>
      <c r="H3" s="9"/>
      <c r="I3" s="9"/>
      <c r="J3" s="9"/>
      <c r="K3" s="9"/>
      <c r="L3" s="9"/>
      <c r="M3" s="9"/>
      <c r="N3" s="145"/>
      <c r="O3" s="145"/>
      <c r="P3" s="145"/>
      <c r="Q3" s="145"/>
      <c r="R3" s="145"/>
    </row>
    <row r="4" spans="1:22" ht="12.75" customHeight="1" x14ac:dyDescent="0.25">
      <c r="A4" s="666" t="s">
        <v>256</v>
      </c>
      <c r="B4" s="666"/>
      <c r="C4" s="666"/>
      <c r="D4" s="9"/>
      <c r="E4" s="9"/>
      <c r="F4" s="9"/>
      <c r="G4" s="9"/>
      <c r="H4" s="9"/>
      <c r="I4" s="9"/>
      <c r="J4" s="9"/>
      <c r="K4" s="9"/>
      <c r="L4" s="9"/>
      <c r="M4" s="9"/>
      <c r="N4" s="145"/>
      <c r="O4" s="145"/>
      <c r="P4" s="145"/>
      <c r="Q4" s="145"/>
      <c r="R4" s="145"/>
    </row>
    <row r="5" spans="1:22" x14ac:dyDescent="0.2">
      <c r="A5" s="666" t="s">
        <v>677</v>
      </c>
      <c r="B5" s="666"/>
      <c r="C5" s="666"/>
      <c r="D5" s="9"/>
      <c r="E5" s="9"/>
      <c r="F5" s="9"/>
      <c r="G5" s="9"/>
      <c r="H5" s="9"/>
      <c r="I5" s="9"/>
      <c r="J5" s="9"/>
      <c r="K5" s="9"/>
      <c r="L5" s="9"/>
      <c r="M5" s="9"/>
      <c r="R5" s="663" t="s">
        <v>14</v>
      </c>
      <c r="S5" s="663"/>
      <c r="T5" s="663"/>
      <c r="U5" s="663"/>
      <c r="V5" s="663"/>
    </row>
    <row r="6" spans="1:22" x14ac:dyDescent="0.2">
      <c r="A6" s="11"/>
      <c r="B6" s="9"/>
      <c r="C6" s="9"/>
      <c r="D6" s="9"/>
      <c r="E6" s="9"/>
      <c r="F6" s="9"/>
      <c r="G6" s="9"/>
      <c r="H6" s="9"/>
      <c r="I6" s="9"/>
      <c r="J6" s="9"/>
      <c r="K6" s="9"/>
      <c r="L6" s="9"/>
      <c r="M6" s="9"/>
      <c r="R6" s="663"/>
      <c r="S6" s="663"/>
      <c r="T6" s="663"/>
      <c r="U6" s="663"/>
      <c r="V6" s="663"/>
    </row>
    <row r="7" spans="1:22" x14ac:dyDescent="0.2">
      <c r="A7" s="493"/>
      <c r="B7" s="9"/>
      <c r="C7" s="9"/>
      <c r="D7" s="9"/>
      <c r="E7" s="9"/>
      <c r="F7" s="9"/>
      <c r="G7" s="9"/>
      <c r="H7" s="9"/>
      <c r="I7" s="9"/>
      <c r="J7" s="9"/>
      <c r="K7" s="9"/>
      <c r="L7" s="9"/>
      <c r="M7" s="9"/>
      <c r="R7" s="663"/>
      <c r="S7" s="663"/>
      <c r="T7" s="663"/>
      <c r="U7" s="663"/>
      <c r="V7" s="663"/>
    </row>
    <row r="8" spans="1:22" ht="14.25" customHeight="1" x14ac:dyDescent="0.2">
      <c r="A8" s="493"/>
      <c r="B8" s="9"/>
      <c r="C8" s="9"/>
      <c r="D8" s="9"/>
      <c r="E8" s="9"/>
      <c r="F8" s="9"/>
      <c r="G8" s="9"/>
      <c r="H8" s="9"/>
      <c r="I8" s="9"/>
      <c r="J8" s="9"/>
      <c r="K8" s="9"/>
      <c r="L8" s="9"/>
      <c r="M8" s="9"/>
      <c r="N8" s="12"/>
      <c r="O8" s="12"/>
      <c r="P8" s="12"/>
      <c r="R8" s="663"/>
      <c r="S8" s="663"/>
      <c r="T8" s="663"/>
      <c r="U8" s="663"/>
      <c r="V8" s="663"/>
    </row>
    <row r="9" spans="1:22" ht="14.25" customHeight="1" x14ac:dyDescent="0.2">
      <c r="A9" s="493"/>
      <c r="B9" s="13"/>
      <c r="C9" s="9"/>
      <c r="D9" s="13"/>
      <c r="E9" s="9"/>
      <c r="F9" s="13"/>
      <c r="G9" s="13"/>
      <c r="H9" s="13"/>
      <c r="I9" s="13"/>
      <c r="J9" s="13"/>
      <c r="K9" s="13"/>
      <c r="L9" s="13"/>
      <c r="M9" s="9"/>
      <c r="N9" s="12"/>
      <c r="O9" s="12"/>
      <c r="P9" s="12"/>
    </row>
    <row r="10" spans="1:22" ht="15.95" customHeight="1" x14ac:dyDescent="0.2">
      <c r="A10" s="13"/>
      <c r="B10" s="11"/>
      <c r="C10" s="13"/>
      <c r="D10" s="11"/>
      <c r="E10" s="13"/>
      <c r="F10" s="11"/>
      <c r="G10" s="11"/>
      <c r="H10" s="11"/>
      <c r="I10" s="11"/>
      <c r="J10" s="11"/>
      <c r="K10" s="11"/>
      <c r="L10" s="11"/>
      <c r="M10" s="13"/>
      <c r="N10" s="12"/>
      <c r="O10" s="12"/>
      <c r="P10" s="12"/>
    </row>
    <row r="11" spans="1:22" ht="15.95" customHeight="1" thickBot="1" x14ac:dyDescent="0.25">
      <c r="A11" s="13"/>
      <c r="B11" s="14">
        <v>2024</v>
      </c>
      <c r="C11" s="12"/>
      <c r="D11" s="14">
        <f>B11-1</f>
        <v>2023</v>
      </c>
      <c r="E11" s="12"/>
      <c r="F11" s="14">
        <f>D11-1</f>
        <v>2022</v>
      </c>
      <c r="G11" s="61"/>
      <c r="H11" s="14">
        <f>F11-1</f>
        <v>2021</v>
      </c>
      <c r="I11" s="61"/>
      <c r="J11" s="14">
        <f>H11-1</f>
        <v>2020</v>
      </c>
      <c r="K11" s="61"/>
      <c r="L11" s="14">
        <f>J11-1</f>
        <v>2019</v>
      </c>
      <c r="M11" s="12"/>
      <c r="N11" s="14">
        <f>L11-1</f>
        <v>2018</v>
      </c>
      <c r="O11" s="61"/>
      <c r="P11" s="14">
        <f>N11-1</f>
        <v>2017</v>
      </c>
    </row>
    <row r="12" spans="1:22" x14ac:dyDescent="0.2">
      <c r="B12" s="16"/>
      <c r="C12" s="16"/>
      <c r="D12" s="16"/>
      <c r="E12" s="16"/>
      <c r="F12" s="16"/>
      <c r="G12" s="16"/>
      <c r="H12" s="16"/>
      <c r="I12" s="16"/>
      <c r="J12" s="16"/>
      <c r="K12" s="16"/>
      <c r="L12" s="16"/>
      <c r="M12" s="16"/>
      <c r="N12" s="16"/>
      <c r="O12" s="16"/>
      <c r="P12" s="16"/>
    </row>
    <row r="13" spans="1:22" x14ac:dyDescent="0.2">
      <c r="A13" s="494" t="s">
        <v>267</v>
      </c>
      <c r="B13" s="19">
        <f>IF('GASB 75 JEs'!$J$7="LEA",ROUND('Net LEA Amounts'!L13,8),IF('GASB 75 JEs'!$J$7="RESA",ROUND('Net LEA Amounts'!#REF!,8),IF('GASB 75 JEs'!$J$7="MCVC",ROUND('Net LEA Amounts'!G13,8),0)))</f>
        <v>0</v>
      </c>
      <c r="C13" s="16"/>
      <c r="D13" s="361">
        <v>0</v>
      </c>
      <c r="E13" s="16"/>
      <c r="F13" s="361">
        <v>0</v>
      </c>
      <c r="G13" s="413"/>
      <c r="H13" s="361">
        <v>0</v>
      </c>
      <c r="I13" s="19"/>
      <c r="J13" s="361">
        <v>0</v>
      </c>
      <c r="K13" s="19"/>
      <c r="L13" s="361">
        <v>0</v>
      </c>
      <c r="M13" s="16"/>
      <c r="N13" s="361">
        <v>0</v>
      </c>
      <c r="O13" s="547"/>
      <c r="P13" s="361">
        <v>0</v>
      </c>
    </row>
    <row r="14" spans="1:22" x14ac:dyDescent="0.2">
      <c r="A14" s="494"/>
      <c r="B14" s="17"/>
      <c r="C14" s="16"/>
      <c r="D14" s="17"/>
      <c r="E14" s="16"/>
      <c r="F14" s="17"/>
      <c r="G14" s="414"/>
      <c r="H14" s="17"/>
      <c r="I14" s="17"/>
      <c r="J14" s="17"/>
      <c r="K14" s="17"/>
      <c r="L14" s="17"/>
      <c r="M14" s="16"/>
      <c r="N14" s="17"/>
      <c r="O14" s="17"/>
      <c r="P14" s="17"/>
    </row>
    <row r="15" spans="1:22" x14ac:dyDescent="0.2">
      <c r="A15" s="494" t="s">
        <v>268</v>
      </c>
      <c r="B15" s="4">
        <f>IF('GASB 75 JEs'!$J$7="LEA",ROUND('Net LEA Amounts'!C33,0),IF('GASB 75 JEs'!$J$7="RESA",ROUND('Net LEA Amounts'!C31,0),IF('GASB 75 JEs'!$J$7="MCVC",ROUND('Net LEA Amounts'!C29,0),0)))</f>
        <v>0</v>
      </c>
      <c r="C15" s="1"/>
      <c r="D15" s="8">
        <v>0</v>
      </c>
      <c r="E15" s="1"/>
      <c r="F15" s="8">
        <v>0</v>
      </c>
      <c r="G15" s="4"/>
      <c r="H15" s="8">
        <v>0</v>
      </c>
      <c r="I15" s="4"/>
      <c r="J15" s="8">
        <v>0</v>
      </c>
      <c r="K15" s="4"/>
      <c r="L15" s="8">
        <v>0</v>
      </c>
      <c r="M15" s="1"/>
      <c r="N15" s="8">
        <v>0</v>
      </c>
      <c r="O15" s="548"/>
      <c r="P15" s="8">
        <v>0</v>
      </c>
    </row>
    <row r="16" spans="1:22" ht="14.25" customHeight="1" x14ac:dyDescent="0.2">
      <c r="A16" s="495"/>
      <c r="B16" s="2"/>
      <c r="C16" s="2"/>
      <c r="D16" s="2"/>
      <c r="E16" s="2"/>
      <c r="F16" s="2"/>
      <c r="G16" s="2"/>
      <c r="H16" s="2"/>
      <c r="I16" s="2"/>
      <c r="J16" s="2"/>
      <c r="K16" s="2"/>
      <c r="L16" s="2"/>
      <c r="M16" s="2"/>
      <c r="N16" s="2"/>
      <c r="O16" s="2"/>
      <c r="P16" s="2"/>
    </row>
    <row r="17" spans="1:18" ht="14.25" customHeight="1" x14ac:dyDescent="0.2">
      <c r="A17" s="494" t="s">
        <v>269</v>
      </c>
      <c r="B17" s="2">
        <f>IF('GASB 75 JEs'!$J$7="LEA",ROUND('GASB 75 State Aid Support'!H67,0),IF('GASB 75 JEs'!$J$7="RESA",ROUND('GASB 75 State Aid Support'!J67,0),IF('GASB 75 JEs'!$J$7="MCVC",ROUND('GASB 75 State Aid Support'!L67,0),0)))</f>
        <v>0</v>
      </c>
      <c r="C17" s="2"/>
      <c r="D17" s="362">
        <v>0</v>
      </c>
      <c r="E17" s="2"/>
      <c r="F17" s="362">
        <v>0</v>
      </c>
      <c r="G17" s="2"/>
      <c r="H17" s="362">
        <v>0</v>
      </c>
      <c r="I17" s="2"/>
      <c r="J17" s="362">
        <v>0</v>
      </c>
      <c r="K17" s="2"/>
      <c r="L17" s="362">
        <v>0</v>
      </c>
      <c r="M17" s="2"/>
      <c r="N17" s="362">
        <v>0</v>
      </c>
      <c r="O17" s="549"/>
      <c r="P17" s="362">
        <v>0</v>
      </c>
    </row>
    <row r="18" spans="1:18" ht="20.100000000000001" customHeight="1" thickBot="1" x14ac:dyDescent="0.25">
      <c r="A18" s="494" t="s">
        <v>5</v>
      </c>
      <c r="B18" s="18">
        <f>SUM(B15:B17)</f>
        <v>0</v>
      </c>
      <c r="C18" s="2"/>
      <c r="D18" s="18">
        <f>SUM(D15:D17)</f>
        <v>0</v>
      </c>
      <c r="E18" s="2"/>
      <c r="F18" s="18">
        <f>SUM(F15:F17)</f>
        <v>0</v>
      </c>
      <c r="G18" s="2"/>
      <c r="H18" s="18">
        <f t="shared" ref="H18:J18" si="0">SUM(H15:H17)</f>
        <v>0</v>
      </c>
      <c r="I18" s="2"/>
      <c r="J18" s="18">
        <f t="shared" si="0"/>
        <v>0</v>
      </c>
      <c r="K18" s="2"/>
      <c r="L18" s="18">
        <f t="shared" ref="L18:P18" si="1">SUM(L15:L17)</f>
        <v>0</v>
      </c>
      <c r="M18" s="2"/>
      <c r="N18" s="18">
        <f t="shared" si="1"/>
        <v>0</v>
      </c>
      <c r="O18" s="2"/>
      <c r="P18" s="18">
        <f t="shared" si="1"/>
        <v>0</v>
      </c>
    </row>
    <row r="19" spans="1:18" ht="13.5" thickTop="1" x14ac:dyDescent="0.2">
      <c r="A19" s="16"/>
      <c r="B19" s="3"/>
      <c r="C19" s="2"/>
      <c r="D19" s="3"/>
      <c r="E19" s="2"/>
      <c r="F19" s="3"/>
      <c r="G19" s="2"/>
      <c r="H19" s="3"/>
      <c r="I19" s="3"/>
      <c r="J19" s="3"/>
      <c r="K19" s="3"/>
      <c r="L19" s="3"/>
      <c r="M19" s="2"/>
      <c r="N19" s="3"/>
      <c r="O19" s="3"/>
      <c r="P19" s="3"/>
    </row>
    <row r="20" spans="1:18" x14ac:dyDescent="0.2">
      <c r="A20" s="494" t="s">
        <v>242</v>
      </c>
      <c r="B20" s="8">
        <v>0</v>
      </c>
      <c r="C20" s="2"/>
      <c r="D20" s="8">
        <v>0</v>
      </c>
      <c r="E20" s="2"/>
      <c r="F20" s="8">
        <v>0</v>
      </c>
      <c r="G20" s="4"/>
      <c r="H20" s="8">
        <v>0</v>
      </c>
      <c r="I20" s="4"/>
      <c r="J20" s="8">
        <v>0</v>
      </c>
      <c r="K20" s="4"/>
      <c r="L20" s="8">
        <v>0</v>
      </c>
      <c r="M20" s="2"/>
      <c r="N20" s="8">
        <v>0</v>
      </c>
      <c r="O20" s="548"/>
      <c r="P20" s="8">
        <v>0</v>
      </c>
      <c r="R20" s="2" t="s">
        <v>345</v>
      </c>
    </row>
    <row r="21" spans="1:18" x14ac:dyDescent="0.2">
      <c r="A21" s="496"/>
      <c r="B21" s="3"/>
      <c r="C21" s="2"/>
      <c r="D21" s="3"/>
      <c r="E21" s="2"/>
      <c r="F21" s="3"/>
      <c r="G21" s="2"/>
      <c r="H21" s="3"/>
      <c r="I21" s="3"/>
      <c r="J21" s="3"/>
      <c r="K21" s="3"/>
      <c r="L21" s="3"/>
      <c r="M21" s="2"/>
      <c r="N21" s="3"/>
      <c r="O21" s="3"/>
      <c r="P21" s="3"/>
    </row>
    <row r="22" spans="1:18" x14ac:dyDescent="0.2">
      <c r="A22" s="494" t="s">
        <v>270</v>
      </c>
      <c r="C22" s="2"/>
      <c r="E22" s="2"/>
      <c r="M22" s="2"/>
    </row>
    <row r="23" spans="1:18" x14ac:dyDescent="0.2">
      <c r="A23" s="498" t="s">
        <v>243</v>
      </c>
      <c r="B23" s="17" t="e">
        <f>B15/B20</f>
        <v>#DIV/0!</v>
      </c>
      <c r="C23" s="2"/>
      <c r="D23" s="17" t="e">
        <f>D15/D20</f>
        <v>#DIV/0!</v>
      </c>
      <c r="E23" s="2"/>
      <c r="F23" s="17" t="e">
        <f>F15/F20</f>
        <v>#DIV/0!</v>
      </c>
      <c r="G23" s="414"/>
      <c r="H23" s="17" t="e">
        <f t="shared" ref="H23:J23" si="2">H15/H20</f>
        <v>#DIV/0!</v>
      </c>
      <c r="I23" s="17"/>
      <c r="J23" s="17" t="e">
        <f t="shared" si="2"/>
        <v>#DIV/0!</v>
      </c>
      <c r="K23" s="17"/>
      <c r="L23" s="17" t="e">
        <f t="shared" ref="L23:N23" si="3">L15/L20</f>
        <v>#DIV/0!</v>
      </c>
      <c r="M23" s="2"/>
      <c r="N23" s="17" t="e">
        <f t="shared" si="3"/>
        <v>#DIV/0!</v>
      </c>
      <c r="O23" s="17"/>
      <c r="P23" s="17" t="e">
        <f t="shared" ref="P23" si="4">P15/P20</f>
        <v>#DIV/0!</v>
      </c>
    </row>
    <row r="24" spans="1:18" ht="14.25" customHeight="1" x14ac:dyDescent="0.2">
      <c r="A24" s="495"/>
      <c r="B24" s="2"/>
      <c r="C24" s="2"/>
      <c r="D24" s="2"/>
      <c r="E24" s="2"/>
      <c r="F24" s="2"/>
      <c r="G24" s="2"/>
      <c r="H24" s="2"/>
      <c r="I24" s="2"/>
      <c r="J24" s="2"/>
      <c r="K24" s="2"/>
      <c r="L24" s="2"/>
      <c r="M24" s="2"/>
      <c r="N24" s="2"/>
      <c r="O24" s="2"/>
      <c r="P24" s="2"/>
    </row>
    <row r="25" spans="1:18" ht="14.25" customHeight="1" x14ac:dyDescent="0.2">
      <c r="A25" s="494" t="s">
        <v>364</v>
      </c>
      <c r="B25" s="33">
        <f>ROUND(B31/B32,4)</f>
        <v>1.0219</v>
      </c>
      <c r="C25" s="2"/>
      <c r="D25" s="33">
        <f>ROUND(D31/D32,4)</f>
        <v>1.0966</v>
      </c>
      <c r="E25" s="2"/>
      <c r="F25" s="33">
        <f>ROUND(F31/F32,4)</f>
        <v>0.93589999999999995</v>
      </c>
      <c r="G25" s="415"/>
      <c r="H25" s="33">
        <f>ROUND(H31/H32,4)</f>
        <v>1.0181</v>
      </c>
      <c r="I25" s="33"/>
      <c r="J25" s="33">
        <f>ROUND(J31/J32,4)</f>
        <v>0.7349</v>
      </c>
      <c r="K25" s="33"/>
      <c r="L25" s="33">
        <f>ROUND(L31/L32,4)</f>
        <v>0.39689999999999998</v>
      </c>
      <c r="M25" s="2"/>
      <c r="N25" s="33">
        <f>ROUND(N31/N32,4)</f>
        <v>0.30980000000000002</v>
      </c>
      <c r="O25" s="33"/>
      <c r="P25" s="33">
        <f>ROUND(P31/P32,4)</f>
        <v>0.251</v>
      </c>
    </row>
    <row r="27" spans="1:18" x14ac:dyDescent="0.2">
      <c r="A27" s="499" t="s">
        <v>397</v>
      </c>
    </row>
    <row r="28" spans="1:18" x14ac:dyDescent="0.2">
      <c r="A28" s="499"/>
    </row>
    <row r="29" spans="1:18" ht="38.25" x14ac:dyDescent="0.2">
      <c r="A29" s="500" t="s">
        <v>365</v>
      </c>
    </row>
    <row r="30" spans="1:18" ht="13.5" thickBot="1" x14ac:dyDescent="0.25">
      <c r="B30" s="14">
        <v>2024</v>
      </c>
      <c r="D30" s="14">
        <v>2023</v>
      </c>
      <c r="F30" s="14">
        <f>D30-1</f>
        <v>2022</v>
      </c>
      <c r="H30" s="14">
        <f>F30-1</f>
        <v>2021</v>
      </c>
      <c r="I30" s="61"/>
      <c r="J30" s="14">
        <f>H30-1</f>
        <v>2020</v>
      </c>
      <c r="K30" s="61"/>
      <c r="L30" s="14">
        <f>J30-1</f>
        <v>2019</v>
      </c>
      <c r="N30" s="14">
        <f>L30-1</f>
        <v>2018</v>
      </c>
      <c r="O30" s="61"/>
      <c r="P30" s="14">
        <f>N30-1</f>
        <v>2017</v>
      </c>
    </row>
    <row r="31" spans="1:18" x14ac:dyDescent="0.2">
      <c r="A31" s="501" t="s">
        <v>257</v>
      </c>
      <c r="B31" s="10">
        <v>1945516893</v>
      </c>
      <c r="D31" s="10">
        <v>1795666000</v>
      </c>
      <c r="E31" s="502"/>
      <c r="F31" s="10">
        <v>1624972000</v>
      </c>
      <c r="G31" s="502"/>
      <c r="H31" s="10">
        <v>1673024000</v>
      </c>
      <c r="J31" s="10">
        <v>1224642000</v>
      </c>
      <c r="L31" s="10">
        <v>1091661000</v>
      </c>
      <c r="N31" s="10">
        <v>963115000</v>
      </c>
      <c r="P31" s="10">
        <v>823911315</v>
      </c>
    </row>
    <row r="32" spans="1:18" x14ac:dyDescent="0.2">
      <c r="A32" s="501" t="s">
        <v>258</v>
      </c>
      <c r="B32" s="503">
        <v>1903880796</v>
      </c>
      <c r="D32" s="503">
        <v>1637416883</v>
      </c>
      <c r="E32" s="502"/>
      <c r="F32" s="503">
        <v>1736270764</v>
      </c>
      <c r="G32" s="502"/>
      <c r="H32" s="503">
        <v>1643289292</v>
      </c>
      <c r="J32" s="503">
        <v>1666333746</v>
      </c>
      <c r="L32" s="503">
        <v>2750793325</v>
      </c>
      <c r="N32" s="503">
        <v>3108550896</v>
      </c>
      <c r="P32" s="10">
        <v>3282900408</v>
      </c>
    </row>
    <row r="33" spans="1:16" x14ac:dyDescent="0.2">
      <c r="A33" s="501" t="s">
        <v>275</v>
      </c>
      <c r="B33" s="10">
        <f>B32-B31</f>
        <v>-41636097</v>
      </c>
      <c r="D33" s="10">
        <f>D32-D31</f>
        <v>-158249117</v>
      </c>
      <c r="F33" s="10">
        <f>F32-F31</f>
        <v>111298764</v>
      </c>
      <c r="H33" s="10">
        <f>H32-H31</f>
        <v>-29734708</v>
      </c>
      <c r="J33" s="10">
        <f>J32-J31</f>
        <v>441691746</v>
      </c>
      <c r="L33" s="10">
        <f>L32-L31</f>
        <v>1659132325</v>
      </c>
      <c r="N33" s="10">
        <f>N32-N31</f>
        <v>2145435896</v>
      </c>
      <c r="P33" s="10">
        <f>P32-P31</f>
        <v>2458989093</v>
      </c>
    </row>
    <row r="35" spans="1:16" x14ac:dyDescent="0.2">
      <c r="A35" s="10" t="s">
        <v>253</v>
      </c>
    </row>
    <row r="39" spans="1:16" x14ac:dyDescent="0.2">
      <c r="A39" s="10" t="s">
        <v>47</v>
      </c>
    </row>
    <row r="42" spans="1:16" ht="15" x14ac:dyDescent="0.25">
      <c r="A42" s="410" t="s">
        <v>244</v>
      </c>
    </row>
    <row r="43" spans="1:16" x14ac:dyDescent="0.2">
      <c r="A43" s="662" t="s">
        <v>389</v>
      </c>
      <c r="B43" s="662"/>
      <c r="C43" s="662"/>
      <c r="D43" s="662"/>
      <c r="E43" s="662"/>
      <c r="F43" s="662"/>
    </row>
    <row r="44" spans="1:16" x14ac:dyDescent="0.2">
      <c r="A44" s="662"/>
      <c r="B44" s="662"/>
      <c r="C44" s="662"/>
      <c r="D44" s="662"/>
      <c r="E44" s="662"/>
      <c r="F44" s="662"/>
    </row>
    <row r="45" spans="1:16" x14ac:dyDescent="0.2">
      <c r="A45" s="662"/>
      <c r="B45" s="662"/>
      <c r="C45" s="662"/>
      <c r="D45" s="662"/>
      <c r="E45" s="662"/>
      <c r="F45" s="662"/>
    </row>
    <row r="46" spans="1:16" x14ac:dyDescent="0.2">
      <c r="A46" s="662"/>
      <c r="B46" s="662"/>
      <c r="C46" s="662"/>
      <c r="D46" s="662"/>
      <c r="E46" s="662"/>
      <c r="F46" s="662"/>
    </row>
  </sheetData>
  <sheetProtection algorithmName="SHA-512" hashValue="shFIeC9PDz5FZmRI74sUDwNREo2wnWjgd4rQ9eS1tx8C3bqaGp4dEwAjT20QEJ6uhD5zCOu9aPqeTf5LT1M7UA==" saltValue="slNzrbzaT1TkIp3tOak3sg==" spinCount="100000" sheet="1" objects="1" scenarios="1"/>
  <protectedRanges>
    <protectedRange sqref="B20" name="Range1_1"/>
  </protectedRanges>
  <mergeCells count="7">
    <mergeCell ref="A43:F46"/>
    <mergeCell ref="R5:V8"/>
    <mergeCell ref="A1:C1"/>
    <mergeCell ref="A2:C2"/>
    <mergeCell ref="A3:C3"/>
    <mergeCell ref="A4:C4"/>
    <mergeCell ref="A5:C5"/>
  </mergeCells>
  <pageMargins left="1" right="0.5" top="0.5" bottom="0.5" header="0.5" footer="0.5"/>
  <pageSetup scale="42" orientation="portrait" r:id="rId1"/>
  <headerFooter alignWithMargins="0">
    <oddFooter>&amp;C&amp;11- &amp;P+7 -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0.499984740745262"/>
  </sheetPr>
  <dimension ref="A1:V35"/>
  <sheetViews>
    <sheetView view="pageBreakPreview" topLeftCell="A9" zoomScaleNormal="100" zoomScaleSheetLayoutView="100" workbookViewId="0">
      <selection activeCell="A26" sqref="A26"/>
    </sheetView>
  </sheetViews>
  <sheetFormatPr defaultColWidth="9.77734375" defaultRowHeight="12.75" x14ac:dyDescent="0.2"/>
  <cols>
    <col min="1" max="1" width="42.21875" style="10" customWidth="1"/>
    <col min="2" max="2" width="10.77734375" style="10" customWidth="1"/>
    <col min="3" max="3" width="2.44140625" style="10" customWidth="1"/>
    <col min="4" max="4" width="11.44140625" style="10" customWidth="1"/>
    <col min="5" max="5" width="1.21875" style="10" customWidth="1"/>
    <col min="6" max="6" width="10.77734375" style="10" customWidth="1"/>
    <col min="7" max="7" width="1.21875" style="10" customWidth="1"/>
    <col min="8" max="8" width="10.77734375" style="10" customWidth="1"/>
    <col min="9" max="9" width="1.21875" style="10" customWidth="1"/>
    <col min="10" max="10" width="10.77734375" style="10" customWidth="1"/>
    <col min="11" max="11" width="1.21875" style="10" customWidth="1"/>
    <col min="12" max="12" width="10.77734375" style="10" customWidth="1"/>
    <col min="13" max="13" width="1.21875" style="10" customWidth="1"/>
    <col min="14" max="14" width="10.77734375" style="10" customWidth="1"/>
    <col min="15" max="15" width="1.21875" style="10" customWidth="1"/>
    <col min="16" max="16" width="10.77734375" style="10" customWidth="1"/>
    <col min="17" max="17" width="1.21875" style="10" customWidth="1"/>
    <col min="18" max="18" width="10.77734375" style="10" customWidth="1"/>
    <col min="19" max="19" width="1.21875" style="10" customWidth="1"/>
    <col min="20" max="20" width="10.77734375" style="10" customWidth="1"/>
    <col min="21" max="21" width="1.21875" style="10" customWidth="1"/>
    <col min="22" max="22" width="3" style="10" customWidth="1"/>
    <col min="23" max="16384" width="9.77734375" style="10"/>
  </cols>
  <sheetData>
    <row r="1" spans="1:22" ht="18" x14ac:dyDescent="0.25">
      <c r="A1" s="664" t="s">
        <v>12</v>
      </c>
      <c r="B1" s="664"/>
      <c r="C1" s="664"/>
      <c r="D1" s="167"/>
      <c r="E1" s="167"/>
      <c r="F1" s="167"/>
      <c r="P1" s="166"/>
      <c r="Q1" s="9"/>
      <c r="R1" s="9"/>
      <c r="S1" s="9"/>
      <c r="T1" s="145" t="str">
        <f>'Prop Share of NOL'!R1</f>
        <v>Password for protected sheet: BOE2025</v>
      </c>
      <c r="U1" s="9"/>
      <c r="V1" s="167"/>
    </row>
    <row r="2" spans="1:22" x14ac:dyDescent="0.2">
      <c r="A2" s="664" t="s">
        <v>15</v>
      </c>
      <c r="B2" s="664"/>
      <c r="C2" s="664"/>
      <c r="D2" s="167"/>
      <c r="E2" s="167"/>
      <c r="F2" s="167"/>
      <c r="P2" s="166"/>
      <c r="Q2" s="9"/>
      <c r="R2" s="9"/>
      <c r="S2" s="9"/>
      <c r="U2" s="9"/>
      <c r="V2" s="167"/>
    </row>
    <row r="3" spans="1:22" x14ac:dyDescent="0.2">
      <c r="A3" s="664"/>
      <c r="B3" s="664"/>
      <c r="C3" s="664"/>
      <c r="P3" s="166"/>
      <c r="Q3" s="9"/>
      <c r="R3" s="9"/>
      <c r="S3" s="9"/>
      <c r="U3" s="9"/>
      <c r="V3" s="167"/>
    </row>
    <row r="4" spans="1:22" ht="12.75" customHeight="1" x14ac:dyDescent="0.2">
      <c r="A4" s="664" t="s">
        <v>49</v>
      </c>
      <c r="B4" s="664"/>
      <c r="C4" s="664"/>
      <c r="D4" s="167"/>
      <c r="E4" s="167"/>
      <c r="F4" s="167"/>
      <c r="K4" s="416"/>
      <c r="M4" s="416"/>
      <c r="O4" s="416"/>
      <c r="P4" s="416"/>
      <c r="Q4" s="416"/>
      <c r="R4" s="416"/>
      <c r="S4" s="416"/>
      <c r="T4" s="416" t="s">
        <v>14</v>
      </c>
      <c r="U4" s="9"/>
    </row>
    <row r="5" spans="1:22" ht="12.75" customHeight="1" x14ac:dyDescent="0.2">
      <c r="A5" s="664" t="s">
        <v>255</v>
      </c>
      <c r="B5" s="664"/>
      <c r="C5" s="664"/>
      <c r="D5" s="167"/>
      <c r="E5" s="167"/>
      <c r="F5" s="167"/>
      <c r="J5" s="416"/>
      <c r="K5" s="416"/>
      <c r="L5" s="416"/>
      <c r="M5" s="416"/>
      <c r="N5" s="416"/>
      <c r="O5" s="416"/>
      <c r="P5" s="416"/>
      <c r="Q5" s="416"/>
      <c r="R5" s="416"/>
      <c r="S5" s="416"/>
      <c r="T5" s="416"/>
      <c r="U5" s="9"/>
    </row>
    <row r="6" spans="1:22" ht="12.75" customHeight="1" x14ac:dyDescent="0.2">
      <c r="A6" s="664" t="s">
        <v>678</v>
      </c>
      <c r="B6" s="664"/>
      <c r="C6" s="664"/>
      <c r="D6" s="167"/>
      <c r="E6" s="167"/>
      <c r="F6" s="167"/>
      <c r="J6" s="416"/>
      <c r="K6" s="416"/>
      <c r="L6" s="416"/>
      <c r="M6" s="416"/>
      <c r="N6" s="416"/>
      <c r="O6" s="416"/>
      <c r="P6" s="416"/>
      <c r="Q6" s="416"/>
      <c r="R6" s="416"/>
      <c r="S6" s="416"/>
      <c r="T6" s="416"/>
      <c r="U6" s="9"/>
    </row>
    <row r="7" spans="1:22" ht="12.75" customHeight="1" x14ac:dyDescent="0.2">
      <c r="A7" s="61"/>
      <c r="B7" s="9"/>
      <c r="C7" s="9"/>
      <c r="J7" s="416"/>
      <c r="K7" s="416"/>
      <c r="L7" s="416"/>
      <c r="M7" s="416"/>
      <c r="N7" s="416"/>
      <c r="O7" s="416"/>
      <c r="P7" s="416"/>
      <c r="Q7" s="416"/>
      <c r="R7" s="416"/>
      <c r="S7" s="416"/>
      <c r="T7" s="416"/>
      <c r="U7" s="9"/>
    </row>
    <row r="8" spans="1:22" ht="12.75" customHeight="1" x14ac:dyDescent="0.2">
      <c r="A8" s="61"/>
      <c r="B8" s="9"/>
      <c r="C8" s="9"/>
      <c r="D8" s="9"/>
      <c r="E8" s="9"/>
      <c r="F8" s="9"/>
      <c r="G8" s="9"/>
      <c r="H8" s="9"/>
      <c r="I8" s="9"/>
      <c r="J8" s="416"/>
      <c r="K8" s="416"/>
      <c r="L8" s="416"/>
      <c r="M8" s="416"/>
      <c r="N8" s="416"/>
      <c r="O8" s="416"/>
      <c r="P8" s="416"/>
      <c r="Q8" s="416"/>
      <c r="R8" s="416"/>
      <c r="S8" s="416"/>
      <c r="T8" s="416"/>
      <c r="U8" s="9"/>
      <c r="V8" s="12"/>
    </row>
    <row r="9" spans="1:22" x14ac:dyDescent="0.2">
      <c r="A9" s="493"/>
      <c r="B9" s="13"/>
      <c r="C9" s="9"/>
      <c r="D9" s="13"/>
      <c r="E9" s="9"/>
      <c r="F9" s="13"/>
      <c r="G9" s="9"/>
      <c r="H9" s="13"/>
      <c r="I9" s="9"/>
      <c r="J9" s="13"/>
      <c r="K9" s="9"/>
      <c r="L9" s="13"/>
      <c r="M9" s="9"/>
      <c r="N9" s="13"/>
      <c r="O9" s="9"/>
      <c r="P9" s="13"/>
      <c r="Q9" s="9"/>
      <c r="R9" s="13"/>
      <c r="S9" s="9"/>
      <c r="T9" s="13"/>
      <c r="U9" s="9"/>
      <c r="V9" s="12"/>
    </row>
    <row r="10" spans="1:22" x14ac:dyDescent="0.2">
      <c r="A10" s="13"/>
      <c r="B10" s="11"/>
      <c r="C10" s="13"/>
      <c r="D10" s="11"/>
      <c r="E10" s="13"/>
      <c r="F10" s="11"/>
      <c r="G10" s="13"/>
      <c r="H10" s="11"/>
      <c r="I10" s="13"/>
      <c r="J10" s="11"/>
      <c r="K10" s="13"/>
      <c r="L10" s="11"/>
      <c r="M10" s="13"/>
      <c r="N10" s="11"/>
      <c r="O10" s="13"/>
      <c r="P10" s="11"/>
      <c r="Q10" s="13"/>
      <c r="R10" s="11"/>
      <c r="S10" s="13"/>
      <c r="T10" s="11"/>
      <c r="U10" s="13"/>
      <c r="V10" s="12"/>
    </row>
    <row r="11" spans="1:22" ht="13.5" thickBot="1" x14ac:dyDescent="0.25">
      <c r="A11" s="13"/>
      <c r="B11" s="14">
        <f>'Change in Proportion - LEAs'!C7</f>
        <v>2025</v>
      </c>
      <c r="C11" s="12"/>
      <c r="D11" s="14">
        <f>B11-1</f>
        <v>2024</v>
      </c>
      <c r="E11" s="12"/>
      <c r="F11" s="14">
        <f>D11-1</f>
        <v>2023</v>
      </c>
      <c r="G11" s="12"/>
      <c r="H11" s="14">
        <f>F11-1</f>
        <v>2022</v>
      </c>
      <c r="I11" s="12"/>
      <c r="J11" s="14">
        <f>H11-1</f>
        <v>2021</v>
      </c>
      <c r="K11" s="12"/>
      <c r="L11" s="14">
        <f>J11-1</f>
        <v>2020</v>
      </c>
      <c r="M11" s="12"/>
      <c r="N11" s="14">
        <f>L11-1</f>
        <v>2019</v>
      </c>
      <c r="O11" s="12"/>
      <c r="P11" s="14">
        <f>N11-1</f>
        <v>2018</v>
      </c>
      <c r="Q11" s="12"/>
      <c r="R11" s="14">
        <f>P11-1</f>
        <v>2017</v>
      </c>
      <c r="S11" s="12"/>
      <c r="T11" s="14">
        <f>R11-1</f>
        <v>2016</v>
      </c>
      <c r="U11" s="12"/>
      <c r="V11" s="15"/>
    </row>
    <row r="12" spans="1:22" x14ac:dyDescent="0.2">
      <c r="B12" s="16"/>
      <c r="C12" s="16"/>
      <c r="D12" s="16"/>
      <c r="E12" s="16"/>
      <c r="F12" s="16"/>
      <c r="G12" s="16"/>
      <c r="H12" s="16"/>
      <c r="I12" s="16"/>
      <c r="J12" s="16"/>
      <c r="K12" s="16"/>
      <c r="L12" s="16"/>
      <c r="M12" s="16"/>
      <c r="N12" s="16"/>
      <c r="O12" s="16"/>
      <c r="P12" s="16"/>
      <c r="Q12" s="16"/>
      <c r="R12" s="16"/>
      <c r="S12" s="16"/>
      <c r="T12" s="16"/>
      <c r="U12" s="16"/>
      <c r="V12" s="16"/>
    </row>
    <row r="13" spans="1:22" x14ac:dyDescent="0.2">
      <c r="A13" s="494" t="s">
        <v>50</v>
      </c>
      <c r="B13" s="4">
        <f>IF('GASB 75 JEs'!$J$7="LEA",ROUND('OPEB Contr Input - LEA'!K62,0),IF('GASB 75 JEs'!$J$7="MCVC",ROUND('OPEB Contr Input - MCVC'!K62,0),IF('GASB 75 JEs'!$J$7="RESA",ROUND('OPEB Contr Input - RESA'!K62,0),0)))</f>
        <v>0</v>
      </c>
      <c r="C13" s="1"/>
      <c r="D13" s="8">
        <v>0</v>
      </c>
      <c r="E13" s="1"/>
      <c r="F13" s="8">
        <v>0</v>
      </c>
      <c r="G13" s="1"/>
      <c r="H13" s="8">
        <v>0</v>
      </c>
      <c r="I13" s="1"/>
      <c r="J13" s="8">
        <v>0</v>
      </c>
      <c r="K13" s="1"/>
      <c r="L13" s="8">
        <v>0</v>
      </c>
      <c r="M13" s="1"/>
      <c r="N13" s="8">
        <v>0</v>
      </c>
      <c r="O13" s="1"/>
      <c r="P13" s="8">
        <v>0</v>
      </c>
      <c r="Q13" s="1"/>
      <c r="R13" s="20">
        <v>0</v>
      </c>
      <c r="S13" s="1"/>
      <c r="T13" s="20">
        <v>0</v>
      </c>
      <c r="U13" s="1"/>
      <c r="V13" s="4"/>
    </row>
    <row r="14" spans="1:22" x14ac:dyDescent="0.2">
      <c r="A14" s="495"/>
      <c r="B14" s="2"/>
      <c r="C14" s="2"/>
      <c r="D14" s="2"/>
      <c r="E14" s="2"/>
      <c r="F14" s="2"/>
      <c r="G14" s="2"/>
      <c r="H14" s="2"/>
      <c r="I14" s="2"/>
      <c r="J14" s="2"/>
      <c r="K14" s="2"/>
      <c r="L14" s="2"/>
      <c r="M14" s="2"/>
      <c r="N14" s="2"/>
      <c r="O14" s="2"/>
      <c r="P14" s="2"/>
      <c r="Q14" s="2"/>
      <c r="R14" s="2"/>
      <c r="S14" s="2"/>
      <c r="T14" s="2"/>
      <c r="U14" s="2"/>
      <c r="V14" s="2"/>
    </row>
    <row r="15" spans="1:22" x14ac:dyDescent="0.2">
      <c r="A15" s="494" t="s">
        <v>51</v>
      </c>
      <c r="B15" s="2">
        <f>-B13</f>
        <v>0</v>
      </c>
      <c r="C15" s="2"/>
      <c r="D15" s="2">
        <f>-D13</f>
        <v>0</v>
      </c>
      <c r="E15" s="2"/>
      <c r="F15" s="2">
        <f>-F13</f>
        <v>0</v>
      </c>
      <c r="G15" s="2"/>
      <c r="H15" s="2">
        <f>-H13</f>
        <v>0</v>
      </c>
      <c r="I15" s="2"/>
      <c r="J15" s="2">
        <f>-J13</f>
        <v>0</v>
      </c>
      <c r="K15" s="2"/>
      <c r="L15" s="2">
        <f>-L13</f>
        <v>0</v>
      </c>
      <c r="M15" s="2"/>
      <c r="N15" s="2">
        <f>-N13</f>
        <v>0</v>
      </c>
      <c r="O15" s="2"/>
      <c r="P15" s="2">
        <f>-P13</f>
        <v>0</v>
      </c>
      <c r="Q15" s="2"/>
      <c r="R15" s="2">
        <f>-R13</f>
        <v>0</v>
      </c>
      <c r="S15" s="2"/>
      <c r="T15" s="2">
        <f>-T13</f>
        <v>0</v>
      </c>
      <c r="U15" s="2"/>
      <c r="V15" s="2" t="s">
        <v>52</v>
      </c>
    </row>
    <row r="16" spans="1:22" ht="13.5" thickBot="1" x14ac:dyDescent="0.25">
      <c r="A16" s="494" t="s">
        <v>53</v>
      </c>
      <c r="B16" s="18">
        <f>SUM(B13:B15)</f>
        <v>0</v>
      </c>
      <c r="C16" s="2"/>
      <c r="D16" s="18">
        <f>SUM(D13:D15)</f>
        <v>0</v>
      </c>
      <c r="E16" s="2"/>
      <c r="F16" s="18">
        <f>SUM(F13:F15)</f>
        <v>0</v>
      </c>
      <c r="G16" s="2"/>
      <c r="H16" s="18">
        <f>SUM(H13:H15)</f>
        <v>0</v>
      </c>
      <c r="I16" s="2"/>
      <c r="J16" s="18">
        <f>SUM(J13:J15)</f>
        <v>0</v>
      </c>
      <c r="K16" s="2"/>
      <c r="L16" s="18">
        <f>SUM(L13:L15)</f>
        <v>0</v>
      </c>
      <c r="M16" s="2"/>
      <c r="N16" s="18">
        <f>SUM(N13:N15)</f>
        <v>0</v>
      </c>
      <c r="O16" s="2"/>
      <c r="P16" s="18">
        <f>SUM(P13:P15)</f>
        <v>0</v>
      </c>
      <c r="Q16" s="2"/>
      <c r="R16" s="18">
        <f>SUM(R13:R15)</f>
        <v>0</v>
      </c>
      <c r="S16" s="2"/>
      <c r="T16" s="18">
        <f>SUM(T13:T15)</f>
        <v>0</v>
      </c>
      <c r="U16" s="2"/>
      <c r="V16" s="2"/>
    </row>
    <row r="17" spans="1:22" ht="13.5" thickTop="1" x14ac:dyDescent="0.2">
      <c r="A17" s="16"/>
      <c r="B17" s="3"/>
      <c r="C17" s="2"/>
      <c r="D17" s="3"/>
      <c r="E17" s="2"/>
      <c r="F17" s="3"/>
      <c r="G17" s="2"/>
      <c r="H17" s="3"/>
      <c r="I17" s="2"/>
      <c r="J17" s="3"/>
      <c r="K17" s="2"/>
      <c r="L17" s="3"/>
      <c r="M17" s="2"/>
      <c r="N17" s="3"/>
      <c r="O17" s="2"/>
      <c r="P17" s="3"/>
      <c r="Q17" s="2"/>
      <c r="R17" s="3"/>
      <c r="S17" s="2"/>
      <c r="T17" s="3"/>
      <c r="U17" s="2"/>
      <c r="V17" s="2"/>
    </row>
    <row r="18" spans="1:22" x14ac:dyDescent="0.2">
      <c r="A18" s="494" t="s">
        <v>242</v>
      </c>
      <c r="B18" s="8">
        <v>0</v>
      </c>
      <c r="C18" s="2"/>
      <c r="D18" s="4">
        <f>'Prop Share of NOL'!B20</f>
        <v>0</v>
      </c>
      <c r="E18" s="2"/>
      <c r="F18" s="4">
        <f>'Prop Share of NOL'!D20</f>
        <v>0</v>
      </c>
      <c r="G18" s="2"/>
      <c r="H18" s="4">
        <f>'Prop Share of NOL'!F20</f>
        <v>0</v>
      </c>
      <c r="I18" s="2"/>
      <c r="J18" s="4">
        <f>'Prop Share of NOL'!H20</f>
        <v>0</v>
      </c>
      <c r="K18" s="2"/>
      <c r="L18" s="4">
        <f>'Prop Share of NOL'!J20</f>
        <v>0</v>
      </c>
      <c r="M18" s="2"/>
      <c r="N18" s="4">
        <f>'Prop Share of NOL'!L20</f>
        <v>0</v>
      </c>
      <c r="O18" s="2"/>
      <c r="P18" s="4"/>
      <c r="Q18" s="2"/>
      <c r="R18" s="20">
        <v>0</v>
      </c>
      <c r="S18" s="2"/>
      <c r="T18" s="20">
        <v>0</v>
      </c>
      <c r="U18" s="2"/>
      <c r="V18" s="2"/>
    </row>
    <row r="19" spans="1:22" x14ac:dyDescent="0.2">
      <c r="A19" s="496"/>
      <c r="B19" s="3"/>
      <c r="C19" s="2"/>
      <c r="D19" s="3"/>
      <c r="E19" s="2"/>
      <c r="F19" s="3"/>
      <c r="G19" s="2"/>
      <c r="H19" s="3"/>
      <c r="I19" s="2"/>
      <c r="J19" s="3"/>
      <c r="K19" s="2"/>
      <c r="L19" s="3"/>
      <c r="M19" s="2"/>
      <c r="N19" s="3"/>
      <c r="O19" s="2"/>
      <c r="P19" s="3"/>
      <c r="Q19" s="2"/>
      <c r="R19" s="3"/>
      <c r="S19" s="2"/>
      <c r="T19" s="3"/>
      <c r="U19" s="2"/>
      <c r="V19" s="2"/>
    </row>
    <row r="20" spans="1:22" x14ac:dyDescent="0.2">
      <c r="A20" s="494" t="s">
        <v>245</v>
      </c>
      <c r="B20" s="17" t="e">
        <f>B13/B18</f>
        <v>#DIV/0!</v>
      </c>
      <c r="C20" s="2"/>
      <c r="D20" s="17" t="e">
        <f>D13/D18</f>
        <v>#DIV/0!</v>
      </c>
      <c r="E20" s="2"/>
      <c r="F20" s="17" t="e">
        <f>F13/F18</f>
        <v>#DIV/0!</v>
      </c>
      <c r="G20" s="2"/>
      <c r="H20" s="17" t="e">
        <f>H13/H18</f>
        <v>#DIV/0!</v>
      </c>
      <c r="I20" s="2"/>
      <c r="J20" s="17" t="e">
        <f>J13/J18</f>
        <v>#DIV/0!</v>
      </c>
      <c r="K20" s="2"/>
      <c r="L20" s="17" t="e">
        <f>L13/L18</f>
        <v>#DIV/0!</v>
      </c>
      <c r="M20" s="2"/>
      <c r="N20" s="17" t="e">
        <f>N13/N18</f>
        <v>#DIV/0!</v>
      </c>
      <c r="O20" s="2"/>
      <c r="P20" s="17" t="e">
        <f>P13/P18</f>
        <v>#DIV/0!</v>
      </c>
      <c r="Q20" s="2"/>
      <c r="R20" s="17" t="e">
        <f>R13/R18</f>
        <v>#DIV/0!</v>
      </c>
      <c r="S20" s="2"/>
      <c r="T20" s="17" t="e">
        <f>T13/T18</f>
        <v>#DIV/0!</v>
      </c>
      <c r="U20" s="2"/>
      <c r="V20" s="2"/>
    </row>
    <row r="21" spans="1:22" x14ac:dyDescent="0.2">
      <c r="A21" s="495"/>
      <c r="B21" s="2"/>
      <c r="C21" s="2"/>
      <c r="D21" s="2"/>
      <c r="E21" s="2"/>
      <c r="F21" s="2"/>
      <c r="G21" s="2"/>
      <c r="H21" s="2"/>
      <c r="I21" s="2"/>
      <c r="J21" s="2"/>
      <c r="K21" s="2"/>
      <c r="L21" s="2"/>
      <c r="M21" s="2"/>
      <c r="N21" s="2"/>
      <c r="O21" s="2"/>
      <c r="P21" s="2"/>
      <c r="Q21" s="2"/>
      <c r="R21" s="2"/>
      <c r="S21" s="2"/>
      <c r="T21" s="2"/>
      <c r="U21" s="2"/>
      <c r="V21" s="2"/>
    </row>
    <row r="22" spans="1:22" x14ac:dyDescent="0.2">
      <c r="A22" s="497" t="s">
        <v>254</v>
      </c>
      <c r="B22" s="17"/>
      <c r="C22" s="2"/>
      <c r="D22" s="17"/>
      <c r="E22" s="2"/>
      <c r="F22" s="17"/>
      <c r="G22" s="2"/>
      <c r="H22" s="17"/>
      <c r="I22" s="2"/>
      <c r="J22" s="17"/>
      <c r="K22" s="2"/>
      <c r="L22" s="17"/>
      <c r="M22" s="2"/>
      <c r="N22" s="17"/>
      <c r="O22" s="2"/>
      <c r="P22" s="17"/>
      <c r="Q22" s="2"/>
      <c r="R22" s="17"/>
      <c r="S22" s="2"/>
      <c r="T22" s="17"/>
      <c r="U22" s="2"/>
      <c r="V22" s="2"/>
    </row>
    <row r="25" spans="1:22" x14ac:dyDescent="0.2">
      <c r="A25" s="10" t="s">
        <v>253</v>
      </c>
    </row>
    <row r="26" spans="1:22" x14ac:dyDescent="0.2">
      <c r="A26" s="10" t="s">
        <v>569</v>
      </c>
    </row>
    <row r="27" spans="1:22" x14ac:dyDescent="0.2">
      <c r="A27" s="10" t="s">
        <v>54</v>
      </c>
    </row>
    <row r="29" spans="1:22" x14ac:dyDescent="0.2">
      <c r="A29" s="10" t="s">
        <v>47</v>
      </c>
    </row>
    <row r="31" spans="1:22" ht="15" x14ac:dyDescent="0.25">
      <c r="A31" s="410" t="str">
        <f>'Prop Share of NOL'!A42</f>
        <v>How to determine the amount to enter for the "district's covered payroll."</v>
      </c>
    </row>
    <row r="32" spans="1:22" x14ac:dyDescent="0.2">
      <c r="A32" s="662" t="s">
        <v>389</v>
      </c>
      <c r="B32" s="662"/>
      <c r="C32" s="662"/>
      <c r="D32" s="662"/>
      <c r="E32" s="662"/>
      <c r="F32" s="662"/>
      <c r="G32" s="662"/>
      <c r="H32" s="662"/>
      <c r="I32" s="173"/>
      <c r="J32" s="173"/>
      <c r="L32" s="174"/>
      <c r="M32" s="174"/>
      <c r="N32" s="174"/>
    </row>
    <row r="33" spans="1:14" x14ac:dyDescent="0.2">
      <c r="A33" s="662"/>
      <c r="B33" s="662"/>
      <c r="C33" s="662"/>
      <c r="D33" s="662"/>
      <c r="E33" s="662"/>
      <c r="F33" s="662"/>
      <c r="G33" s="662"/>
      <c r="H33" s="662"/>
      <c r="I33" s="173"/>
      <c r="J33" s="173"/>
    </row>
    <row r="34" spans="1:14" x14ac:dyDescent="0.2">
      <c r="A34" s="662"/>
      <c r="B34" s="662"/>
      <c r="C34" s="662"/>
      <c r="D34" s="662"/>
      <c r="E34" s="662"/>
      <c r="F34" s="662"/>
      <c r="G34" s="662"/>
      <c r="H34" s="662"/>
      <c r="I34" s="173"/>
      <c r="J34" s="173"/>
      <c r="L34" s="174"/>
      <c r="M34" s="174"/>
      <c r="N34" s="174"/>
    </row>
    <row r="35" spans="1:14" x14ac:dyDescent="0.2">
      <c r="A35" s="662"/>
      <c r="B35" s="662"/>
      <c r="C35" s="662"/>
      <c r="D35" s="662"/>
      <c r="E35" s="662"/>
      <c r="F35" s="662"/>
      <c r="G35" s="662"/>
      <c r="H35" s="662"/>
    </row>
  </sheetData>
  <sheetProtection algorithmName="SHA-512" hashValue="0Kpk7uzvxp59VVviRsdjCATirDj2fMF7TZeqvCp3A2w27JJfqkuwyGnZMxUVCFIar7W5dImBp8XDN/0FRxPspw==" saltValue="UZNdBAPs1XWP3a+AANYeWg==" spinCount="100000" sheet="1" objects="1" scenarios="1"/>
  <protectedRanges>
    <protectedRange sqref="B13" name="Range1"/>
    <protectedRange sqref="B18" name="Range1_1"/>
  </protectedRanges>
  <mergeCells count="7">
    <mergeCell ref="A32:H35"/>
    <mergeCell ref="A1:C1"/>
    <mergeCell ref="A2:C2"/>
    <mergeCell ref="A3:C3"/>
    <mergeCell ref="A4:C4"/>
    <mergeCell ref="A5:C5"/>
    <mergeCell ref="A6:C6"/>
  </mergeCells>
  <pageMargins left="0.7" right="0.7" top="0.75" bottom="0.75" header="0.3" footer="0.3"/>
  <pageSetup scale="6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3"/>
  <sheetViews>
    <sheetView workbookViewId="0">
      <selection activeCell="D9" sqref="D9"/>
    </sheetView>
  </sheetViews>
  <sheetFormatPr defaultRowHeight="15" x14ac:dyDescent="0.2"/>
  <sheetData>
    <row r="1" spans="1:1" x14ac:dyDescent="0.2">
      <c r="A1" s="23" t="s">
        <v>173</v>
      </c>
    </row>
    <row r="2" spans="1:1" x14ac:dyDescent="0.2">
      <c r="A2" s="23"/>
    </row>
    <row r="3" spans="1:1" x14ac:dyDescent="0.2">
      <c r="A3" s="23"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G337"/>
  <sheetViews>
    <sheetView topLeftCell="A19" zoomScale="85" zoomScaleNormal="85" workbookViewId="0">
      <selection activeCell="N13" sqref="N13"/>
    </sheetView>
  </sheetViews>
  <sheetFormatPr defaultColWidth="8.88671875" defaultRowHeight="15" x14ac:dyDescent="0.2"/>
  <cols>
    <col min="1" max="1" width="47.21875" customWidth="1"/>
    <col min="2" max="2" width="14.21875" customWidth="1"/>
    <col min="3" max="3" width="1.33203125" customWidth="1"/>
    <col min="4" max="4" width="12" hidden="1" customWidth="1"/>
    <col min="5" max="5" width="1.33203125" hidden="1" customWidth="1"/>
    <col min="6" max="6" width="14.6640625" customWidth="1"/>
    <col min="7" max="7" width="1.33203125" customWidth="1"/>
    <col min="8" max="8" width="13.109375" customWidth="1"/>
    <col min="9" max="9" width="1.77734375" customWidth="1"/>
    <col min="10" max="10" width="12" customWidth="1"/>
    <col min="11" max="11" width="1.33203125" customWidth="1"/>
    <col min="12" max="12" width="12" customWidth="1"/>
    <col min="13" max="13" width="2" customWidth="1"/>
    <col min="14" max="14" width="11" customWidth="1"/>
    <col min="15" max="15" width="1.33203125" customWidth="1"/>
    <col min="16" max="16" width="15.77734375" customWidth="1"/>
    <col min="17" max="17" width="1.33203125" customWidth="1"/>
    <col min="18" max="18" width="13.5546875" customWidth="1"/>
    <col min="19" max="19" width="1" customWidth="1"/>
    <col min="20" max="20" width="14.21875" customWidth="1"/>
    <col min="21" max="21" width="1.21875" customWidth="1"/>
    <col min="22" max="22" width="11" hidden="1" customWidth="1"/>
    <col min="23" max="23" width="1.33203125" hidden="1" customWidth="1"/>
    <col min="24" max="24" width="16" bestFit="1" customWidth="1"/>
    <col min="25" max="25" width="2" customWidth="1"/>
    <col min="26" max="26" width="12.88671875" customWidth="1"/>
    <col min="27" max="27" width="1.33203125" customWidth="1"/>
    <col min="28" max="28" width="16.44140625" customWidth="1"/>
    <col min="29" max="29" width="1.6640625" customWidth="1"/>
    <col min="30" max="30" width="11.88671875" hidden="1" customWidth="1"/>
    <col min="31" max="31" width="1.33203125" customWidth="1"/>
    <col min="32" max="32" width="12" customWidth="1"/>
    <col min="33" max="33" width="2" customWidth="1"/>
  </cols>
  <sheetData>
    <row r="1" spans="1:33" ht="15.75" x14ac:dyDescent="0.25">
      <c r="A1" s="25" t="s">
        <v>16</v>
      </c>
    </row>
    <row r="2" spans="1:33" ht="15.75" x14ac:dyDescent="0.25">
      <c r="A2" s="25" t="str">
        <f>'GASB 75 JEs'!H6</f>
        <v>Password for protected sheet: BOE2025</v>
      </c>
    </row>
    <row r="3" spans="1:33" x14ac:dyDescent="0.2">
      <c r="A3" s="504" t="s">
        <v>259</v>
      </c>
    </row>
    <row r="4" spans="1:33" x14ac:dyDescent="0.2">
      <c r="A4" s="504" t="s">
        <v>92</v>
      </c>
    </row>
    <row r="5" spans="1:33" x14ac:dyDescent="0.2">
      <c r="A5" s="504"/>
    </row>
    <row r="6" spans="1:33" ht="18" customHeight="1" x14ac:dyDescent="0.2">
      <c r="A6" s="598" t="s">
        <v>561</v>
      </c>
      <c r="B6" s="598"/>
      <c r="C6" s="598"/>
      <c r="D6" s="598"/>
      <c r="E6" s="598"/>
      <c r="F6" s="598"/>
      <c r="G6" s="598"/>
      <c r="H6" s="598"/>
      <c r="I6" s="598"/>
      <c r="J6" s="598"/>
      <c r="K6" s="598"/>
      <c r="L6" s="598"/>
      <c r="M6" s="598"/>
      <c r="N6" s="598"/>
      <c r="O6" s="598"/>
      <c r="P6" s="598"/>
      <c r="Q6" s="598"/>
      <c r="R6" s="598"/>
      <c r="S6" s="598"/>
      <c r="T6" s="598"/>
    </row>
    <row r="7" spans="1:33" ht="21.75" customHeight="1" thickBot="1" x14ac:dyDescent="0.25">
      <c r="A7" s="599"/>
      <c r="B7" s="599"/>
      <c r="C7" s="599"/>
      <c r="D7" s="599"/>
      <c r="E7" s="599"/>
      <c r="F7" s="599"/>
      <c r="G7" s="599"/>
      <c r="H7" s="599"/>
      <c r="I7" s="599"/>
      <c r="J7" s="599"/>
      <c r="K7" s="599"/>
      <c r="L7" s="599"/>
      <c r="M7" s="599"/>
      <c r="N7" s="599"/>
      <c r="O7" s="599"/>
      <c r="P7" s="599"/>
      <c r="Q7" s="599"/>
      <c r="R7" s="599"/>
      <c r="S7" s="599"/>
      <c r="T7" s="599"/>
    </row>
    <row r="8" spans="1:33" ht="18.75" x14ac:dyDescent="0.3">
      <c r="A8" s="602" t="s">
        <v>355</v>
      </c>
      <c r="B8" s="603"/>
      <c r="C8" s="603"/>
      <c r="D8" s="603"/>
      <c r="E8" s="603"/>
      <c r="F8" s="603"/>
      <c r="G8" s="603"/>
      <c r="H8" s="603"/>
      <c r="I8" s="603"/>
      <c r="J8" s="603"/>
      <c r="K8" s="603"/>
      <c r="L8" s="603"/>
      <c r="M8" s="603"/>
      <c r="N8" s="603"/>
      <c r="O8" s="603"/>
      <c r="P8" s="603"/>
      <c r="Q8" s="603"/>
      <c r="R8" s="603"/>
      <c r="S8" s="603"/>
      <c r="T8" s="603"/>
      <c r="U8" s="603"/>
      <c r="V8" s="603"/>
      <c r="W8" s="603"/>
      <c r="X8" s="603"/>
      <c r="Y8" s="603"/>
      <c r="Z8" s="603"/>
      <c r="AA8" s="603"/>
      <c r="AB8" s="603"/>
      <c r="AC8" s="603"/>
      <c r="AD8" s="603"/>
      <c r="AE8" s="603"/>
      <c r="AF8" s="603"/>
      <c r="AG8" s="604"/>
    </row>
    <row r="9" spans="1:33" ht="18.75" x14ac:dyDescent="0.3">
      <c r="A9" s="605" t="s">
        <v>356</v>
      </c>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7"/>
    </row>
    <row r="10" spans="1:33" ht="18.75" x14ac:dyDescent="0.3">
      <c r="A10" s="605" t="s">
        <v>665</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7"/>
    </row>
    <row r="11" spans="1:33" ht="15.75" thickBot="1" x14ac:dyDescent="0.25">
      <c r="A11" s="79"/>
      <c r="D11" s="80"/>
      <c r="E11" s="80"/>
      <c r="F11" s="80"/>
      <c r="G11" s="80"/>
      <c r="H11" s="80"/>
      <c r="I11" s="80"/>
      <c r="J11" s="80"/>
      <c r="AG11" s="77"/>
    </row>
    <row r="12" spans="1:33" ht="38.25" customHeight="1" thickBot="1" x14ac:dyDescent="0.3">
      <c r="A12" s="79"/>
      <c r="B12" s="81"/>
      <c r="C12" s="81"/>
      <c r="D12" s="608" t="s">
        <v>10</v>
      </c>
      <c r="E12" s="609"/>
      <c r="F12" s="609"/>
      <c r="G12" s="609"/>
      <c r="H12" s="609"/>
      <c r="I12" s="609"/>
      <c r="J12" s="609"/>
      <c r="K12" s="609"/>
      <c r="L12" s="610"/>
      <c r="M12" s="82"/>
      <c r="N12" s="608" t="s">
        <v>11</v>
      </c>
      <c r="O12" s="609"/>
      <c r="P12" s="609"/>
      <c r="Q12" s="609"/>
      <c r="R12" s="609"/>
      <c r="S12" s="609"/>
      <c r="T12" s="609"/>
      <c r="U12" s="609"/>
      <c r="V12" s="609"/>
      <c r="W12" s="609"/>
      <c r="X12" s="610"/>
      <c r="Z12" s="611" t="s">
        <v>294</v>
      </c>
      <c r="AA12" s="612"/>
      <c r="AB12" s="612"/>
      <c r="AC12" s="612"/>
      <c r="AD12" s="612"/>
      <c r="AE12" s="612"/>
      <c r="AF12" s="613"/>
      <c r="AG12" s="77"/>
    </row>
    <row r="13" spans="1:33" ht="117.75" customHeight="1" thickBot="1" x14ac:dyDescent="0.35">
      <c r="A13" s="83" t="s">
        <v>88</v>
      </c>
      <c r="B13" s="505" t="s">
        <v>573</v>
      </c>
      <c r="C13" s="506"/>
      <c r="D13" s="505" t="s">
        <v>477</v>
      </c>
      <c r="E13" s="507"/>
      <c r="F13" s="505" t="s">
        <v>474</v>
      </c>
      <c r="G13" s="507"/>
      <c r="H13" s="505" t="s">
        <v>247</v>
      </c>
      <c r="I13" s="507"/>
      <c r="J13" s="505" t="s">
        <v>476</v>
      </c>
      <c r="K13" s="506"/>
      <c r="L13" s="508" t="s">
        <v>89</v>
      </c>
      <c r="M13" s="506"/>
      <c r="N13" s="505" t="s">
        <v>476</v>
      </c>
      <c r="O13" s="506"/>
      <c r="P13" s="505" t="s">
        <v>247</v>
      </c>
      <c r="Q13" s="507"/>
      <c r="R13" s="505" t="s">
        <v>485</v>
      </c>
      <c r="S13" s="507"/>
      <c r="T13" s="505" t="s">
        <v>185</v>
      </c>
      <c r="U13" s="507"/>
      <c r="V13" s="509" t="s">
        <v>475</v>
      </c>
      <c r="W13" s="507"/>
      <c r="X13" s="508" t="s">
        <v>90</v>
      </c>
      <c r="Y13" s="506"/>
      <c r="Z13" s="505" t="s">
        <v>332</v>
      </c>
      <c r="AA13" s="506"/>
      <c r="AB13" s="505" t="s">
        <v>186</v>
      </c>
      <c r="AC13" s="507"/>
      <c r="AD13" s="530" t="s">
        <v>657</v>
      </c>
      <c r="AE13" s="510"/>
      <c r="AF13" s="505" t="s">
        <v>338</v>
      </c>
      <c r="AG13" s="84"/>
    </row>
    <row r="14" spans="1:33" ht="18.75" x14ac:dyDescent="0.3">
      <c r="A14" s="83"/>
      <c r="B14" s="85"/>
      <c r="C14" s="86"/>
      <c r="D14" s="85"/>
      <c r="E14" s="85"/>
      <c r="F14" s="85"/>
      <c r="G14" s="85"/>
      <c r="H14" s="85"/>
      <c r="I14" s="85"/>
      <c r="J14" s="85"/>
      <c r="K14" s="87"/>
      <c r="L14" s="85"/>
      <c r="M14" s="87"/>
      <c r="N14" s="85"/>
      <c r="O14" s="87"/>
      <c r="P14" s="85"/>
      <c r="Q14" s="85"/>
      <c r="R14" s="85"/>
      <c r="S14" s="85"/>
      <c r="T14" s="85"/>
      <c r="U14" s="85"/>
      <c r="V14" s="85"/>
      <c r="W14" s="85"/>
      <c r="X14" s="85"/>
      <c r="Y14" s="87"/>
      <c r="Z14" s="85"/>
      <c r="AA14" s="87"/>
      <c r="AB14" s="85"/>
      <c r="AC14" s="85"/>
      <c r="AD14" s="531"/>
      <c r="AE14" s="88"/>
      <c r="AF14" s="85"/>
      <c r="AG14" s="84"/>
    </row>
    <row r="15" spans="1:33" ht="18.75" x14ac:dyDescent="0.3">
      <c r="A15" s="94" t="s">
        <v>567</v>
      </c>
      <c r="B15" s="48">
        <v>0</v>
      </c>
      <c r="C15" s="512"/>
      <c r="D15" s="511">
        <v>0</v>
      </c>
      <c r="E15" s="512"/>
      <c r="F15" s="48">
        <v>0</v>
      </c>
      <c r="G15" s="512"/>
      <c r="H15" s="48">
        <v>0</v>
      </c>
      <c r="I15" s="455"/>
      <c r="J15" s="48">
        <v>0</v>
      </c>
      <c r="K15" s="512"/>
      <c r="L15" s="513">
        <f>SUM(D15:K15)</f>
        <v>0</v>
      </c>
      <c r="M15" s="514"/>
      <c r="N15" s="48">
        <v>0</v>
      </c>
      <c r="O15" s="512"/>
      <c r="P15" s="48">
        <v>0</v>
      </c>
      <c r="Q15" s="512"/>
      <c r="R15" s="48">
        <v>0</v>
      </c>
      <c r="S15" s="455"/>
      <c r="T15" s="48">
        <v>0</v>
      </c>
      <c r="U15" s="455"/>
      <c r="V15" s="511">
        <v>0</v>
      </c>
      <c r="W15" s="512"/>
      <c r="X15" s="513">
        <f>SUM(N15:V15)</f>
        <v>0</v>
      </c>
      <c r="Y15" s="514"/>
      <c r="Z15" s="48">
        <v>0</v>
      </c>
      <c r="AA15" s="512"/>
      <c r="AB15" s="48">
        <v>0</v>
      </c>
      <c r="AC15" s="455"/>
      <c r="AD15" s="532">
        <v>0</v>
      </c>
      <c r="AE15" s="512"/>
      <c r="AF15" s="513">
        <f>SUM(Z15:AD15)</f>
        <v>0</v>
      </c>
      <c r="AG15" s="84"/>
    </row>
    <row r="16" spans="1:33" ht="18.75" x14ac:dyDescent="0.3">
      <c r="A16" s="515"/>
      <c r="B16" s="513"/>
      <c r="C16" s="516"/>
      <c r="D16" s="513"/>
      <c r="E16" s="516"/>
      <c r="F16" s="513"/>
      <c r="G16" s="516"/>
      <c r="H16" s="513"/>
      <c r="I16" s="513"/>
      <c r="J16" s="513"/>
      <c r="K16" s="516"/>
      <c r="L16" s="513"/>
      <c r="M16" s="514"/>
      <c r="N16" s="513"/>
      <c r="O16" s="516"/>
      <c r="P16" s="513"/>
      <c r="Q16" s="516"/>
      <c r="R16" s="513"/>
      <c r="S16" s="513"/>
      <c r="T16" s="513"/>
      <c r="U16" s="513"/>
      <c r="V16" s="513"/>
      <c r="W16" s="516"/>
      <c r="X16" s="513"/>
      <c r="Y16" s="514"/>
      <c r="Z16" s="513"/>
      <c r="AA16" s="516"/>
      <c r="AB16" s="513"/>
      <c r="AC16" s="513"/>
      <c r="AD16" s="533"/>
      <c r="AE16" s="516"/>
      <c r="AF16" s="513"/>
      <c r="AG16" s="84"/>
    </row>
    <row r="17" spans="1:33" ht="18.75" x14ac:dyDescent="0.3">
      <c r="A17" s="517" t="s">
        <v>313</v>
      </c>
      <c r="B17" s="455">
        <v>-31581177</v>
      </c>
      <c r="C17" s="512"/>
      <c r="D17" s="455"/>
      <c r="E17" s="512"/>
      <c r="F17" s="455">
        <v>23507750</v>
      </c>
      <c r="G17" s="512"/>
      <c r="H17" s="455">
        <v>12056679</v>
      </c>
      <c r="I17" s="455"/>
      <c r="J17" s="455">
        <v>110003487</v>
      </c>
      <c r="K17" s="512"/>
      <c r="L17" s="513">
        <f>SUM(D17:K17)</f>
        <v>145567916</v>
      </c>
      <c r="M17" s="514"/>
      <c r="N17" s="455">
        <v>31756505</v>
      </c>
      <c r="O17" s="512"/>
      <c r="P17" s="455">
        <v>37344243</v>
      </c>
      <c r="Q17" s="512"/>
      <c r="R17" s="455">
        <v>35981031</v>
      </c>
      <c r="S17" s="455"/>
      <c r="T17" s="455">
        <v>6971441</v>
      </c>
      <c r="U17" s="455"/>
      <c r="V17" s="455"/>
      <c r="W17" s="512"/>
      <c r="X17" s="513">
        <f>SUM(N17:V17)</f>
        <v>112053220</v>
      </c>
      <c r="Y17" s="514"/>
      <c r="Z17" s="455">
        <v>-4273030</v>
      </c>
      <c r="AA17" s="512"/>
      <c r="AB17" s="455">
        <v>32810415</v>
      </c>
      <c r="AC17" s="455"/>
      <c r="AD17" s="455"/>
      <c r="AE17" s="512"/>
      <c r="AF17" s="513">
        <f>SUM(Z17:AD17)</f>
        <v>28537385</v>
      </c>
      <c r="AG17" s="84"/>
    </row>
    <row r="18" spans="1:33" ht="18.75" x14ac:dyDescent="0.3">
      <c r="A18" s="517" t="s">
        <v>314</v>
      </c>
      <c r="B18" s="455">
        <v>0</v>
      </c>
      <c r="C18" s="512"/>
      <c r="D18" s="455"/>
      <c r="E18" s="512"/>
      <c r="F18" s="455">
        <v>2363681</v>
      </c>
      <c r="G18" s="512"/>
      <c r="H18" s="455">
        <v>0</v>
      </c>
      <c r="I18" s="455"/>
      <c r="J18" s="455">
        <v>0</v>
      </c>
      <c r="K18" s="512"/>
      <c r="L18" s="513">
        <f>SUM(D18:K18)</f>
        <v>2363681</v>
      </c>
      <c r="M18" s="514"/>
      <c r="N18" s="455">
        <v>0</v>
      </c>
      <c r="O18" s="512"/>
      <c r="P18" s="455">
        <v>0</v>
      </c>
      <c r="Q18" s="512"/>
      <c r="R18" s="455">
        <v>0</v>
      </c>
      <c r="S18" s="455"/>
      <c r="T18" s="455">
        <v>0</v>
      </c>
      <c r="U18" s="455"/>
      <c r="V18" s="455"/>
      <c r="W18" s="512"/>
      <c r="X18" s="513">
        <f t="shared" ref="X18:X19" si="0">SUM(N18:V18)</f>
        <v>0</v>
      </c>
      <c r="Y18" s="514"/>
      <c r="Z18" s="455">
        <v>0</v>
      </c>
      <c r="AA18" s="512"/>
      <c r="AB18" s="455">
        <v>-11514044</v>
      </c>
      <c r="AC18" s="455"/>
      <c r="AD18" s="455"/>
      <c r="AE18" s="512"/>
      <c r="AF18" s="513">
        <f t="shared" ref="AF18:AF19" si="1">SUM(Z18:AD18)</f>
        <v>-11514044</v>
      </c>
      <c r="AG18" s="84"/>
    </row>
    <row r="19" spans="1:33" ht="18.75" x14ac:dyDescent="0.3">
      <c r="A19" s="517" t="s">
        <v>315</v>
      </c>
      <c r="B19" s="455">
        <v>0</v>
      </c>
      <c r="C19" s="512"/>
      <c r="D19" s="455"/>
      <c r="E19" s="512"/>
      <c r="F19" s="455">
        <v>2661528</v>
      </c>
      <c r="G19" s="512"/>
      <c r="H19" s="455">
        <v>0</v>
      </c>
      <c r="I19" s="455"/>
      <c r="J19" s="455">
        <v>0</v>
      </c>
      <c r="K19" s="512"/>
      <c r="L19" s="513">
        <f>SUM(D19:K19)</f>
        <v>2661528</v>
      </c>
      <c r="M19" s="514"/>
      <c r="N19" s="455">
        <v>0</v>
      </c>
      <c r="O19" s="512"/>
      <c r="P19" s="455">
        <v>0</v>
      </c>
      <c r="Q19" s="512"/>
      <c r="R19" s="455">
        <v>0</v>
      </c>
      <c r="S19" s="455"/>
      <c r="T19" s="455">
        <v>11169994</v>
      </c>
      <c r="U19" s="455"/>
      <c r="V19" s="455"/>
      <c r="W19" s="512"/>
      <c r="X19" s="513">
        <f t="shared" si="0"/>
        <v>11169994</v>
      </c>
      <c r="Y19" s="514"/>
      <c r="Z19" s="455">
        <v>0</v>
      </c>
      <c r="AA19" s="512"/>
      <c r="AB19" s="455">
        <v>-14681626</v>
      </c>
      <c r="AC19" s="455"/>
      <c r="AD19" s="455"/>
      <c r="AE19" s="512"/>
      <c r="AF19" s="513">
        <f t="shared" si="1"/>
        <v>-14681626</v>
      </c>
      <c r="AG19" s="84"/>
    </row>
    <row r="20" spans="1:33" ht="18.75" x14ac:dyDescent="0.3">
      <c r="A20" s="83"/>
      <c r="B20" s="552"/>
      <c r="C20" s="512"/>
      <c r="D20" s="552"/>
      <c r="E20" s="512"/>
      <c r="F20" s="552"/>
      <c r="G20" s="512"/>
      <c r="H20" s="552"/>
      <c r="I20" s="552"/>
      <c r="J20" s="552"/>
      <c r="K20" s="512"/>
      <c r="L20" s="513"/>
      <c r="M20" s="553"/>
      <c r="N20" s="552"/>
      <c r="O20" s="512"/>
      <c r="P20" s="552"/>
      <c r="Q20" s="512"/>
      <c r="R20" s="552"/>
      <c r="S20" s="552"/>
      <c r="T20" s="552"/>
      <c r="U20" s="552"/>
      <c r="V20" s="552"/>
      <c r="W20" s="512"/>
      <c r="X20" s="513"/>
      <c r="Y20" s="553"/>
      <c r="Z20" s="552"/>
      <c r="AA20" s="512"/>
      <c r="AB20" s="552"/>
      <c r="AC20" s="552"/>
      <c r="AD20" s="552"/>
      <c r="AE20" s="512"/>
      <c r="AF20" s="513"/>
      <c r="AG20" s="84"/>
    </row>
    <row r="21" spans="1:33" ht="19.5" thickBot="1" x14ac:dyDescent="0.35">
      <c r="A21" s="554" t="s">
        <v>316</v>
      </c>
      <c r="B21" s="456">
        <v>-41636097</v>
      </c>
      <c r="C21" s="555"/>
      <c r="D21" s="456"/>
      <c r="E21" s="555"/>
      <c r="F21" s="456">
        <v>41087309</v>
      </c>
      <c r="G21" s="555"/>
      <c r="H21" s="456">
        <v>15895326</v>
      </c>
      <c r="I21" s="456"/>
      <c r="J21" s="456">
        <v>145026764</v>
      </c>
      <c r="K21" s="555"/>
      <c r="L21" s="456">
        <f>SUM(D21:K21)</f>
        <v>202009399</v>
      </c>
      <c r="M21" s="556"/>
      <c r="N21" s="456">
        <v>41867247</v>
      </c>
      <c r="O21" s="555"/>
      <c r="P21" s="456">
        <v>49234028</v>
      </c>
      <c r="Q21" s="555"/>
      <c r="R21" s="456">
        <v>47436791</v>
      </c>
      <c r="S21" s="456"/>
      <c r="T21" s="456">
        <v>41087309</v>
      </c>
      <c r="U21" s="456"/>
      <c r="V21" s="456"/>
      <c r="W21" s="555"/>
      <c r="X21" s="456">
        <f>SUM(N21:V21)</f>
        <v>179625375</v>
      </c>
      <c r="Y21" s="556"/>
      <c r="Z21" s="557">
        <v>-5633492</v>
      </c>
      <c r="AA21" s="555"/>
      <c r="AB21" s="456">
        <v>0</v>
      </c>
      <c r="AC21" s="456"/>
      <c r="AD21" s="456"/>
      <c r="AE21" s="555"/>
      <c r="AF21" s="456">
        <f>SUM(Z21:AD21)</f>
        <v>-5633492</v>
      </c>
      <c r="AG21" s="84"/>
    </row>
    <row r="22" spans="1:33" ht="15.75" thickTop="1" x14ac:dyDescent="0.2">
      <c r="A22" s="89"/>
      <c r="B22" s="90"/>
      <c r="C22" s="90"/>
      <c r="D22" s="91"/>
      <c r="E22" s="91"/>
      <c r="F22" s="90"/>
      <c r="G22" s="91"/>
      <c r="H22" s="91"/>
      <c r="I22" s="91"/>
      <c r="J22" s="91"/>
      <c r="K22" s="90"/>
      <c r="L22" s="90"/>
      <c r="M22" s="90"/>
      <c r="N22" s="90"/>
      <c r="O22" s="90"/>
      <c r="P22" s="90"/>
      <c r="Q22" s="90"/>
      <c r="R22" s="90"/>
      <c r="S22" s="90"/>
      <c r="T22" s="90"/>
      <c r="U22" s="90"/>
      <c r="V22" s="90"/>
      <c r="W22" s="90"/>
      <c r="X22" s="237"/>
      <c r="Y22" s="90"/>
      <c r="Z22" s="90"/>
      <c r="AA22" s="90"/>
      <c r="AB22" s="90"/>
      <c r="AC22" s="90"/>
      <c r="AD22" s="534"/>
      <c r="AE22" s="90"/>
      <c r="AF22" s="90"/>
      <c r="AG22" s="92"/>
    </row>
    <row r="23" spans="1:33" ht="16.5" thickBot="1" x14ac:dyDescent="0.3">
      <c r="A23" s="518"/>
      <c r="B23" s="519"/>
      <c r="C23" s="519"/>
      <c r="D23" s="520"/>
      <c r="E23" s="520"/>
      <c r="F23" s="519"/>
      <c r="G23" s="520"/>
      <c r="H23" s="520"/>
      <c r="I23" s="520"/>
      <c r="J23" s="520"/>
      <c r="K23" s="519"/>
      <c r="L23" s="519"/>
      <c r="M23" s="519"/>
      <c r="N23" s="519"/>
      <c r="O23" s="519"/>
      <c r="P23" s="519"/>
      <c r="Q23" s="519"/>
      <c r="R23" s="519"/>
      <c r="S23" s="519"/>
      <c r="T23" s="519"/>
      <c r="U23" s="519"/>
      <c r="V23" s="519"/>
      <c r="W23" s="519"/>
      <c r="X23" s="402"/>
      <c r="Y23" s="519"/>
      <c r="Z23" s="519"/>
      <c r="AA23" s="519"/>
      <c r="AB23" s="519"/>
      <c r="AC23" s="519"/>
      <c r="AD23" s="535"/>
      <c r="AE23" s="519"/>
      <c r="AF23" s="519"/>
      <c r="AG23" s="521"/>
    </row>
    <row r="24" spans="1:33" x14ac:dyDescent="0.2">
      <c r="D24" s="26"/>
      <c r="F24" s="72"/>
      <c r="J24" s="26"/>
      <c r="L24" s="26"/>
      <c r="M24" s="23"/>
    </row>
    <row r="25" spans="1:33" x14ac:dyDescent="0.2">
      <c r="F25" s="26"/>
      <c r="H25" s="26"/>
      <c r="I25" s="23"/>
      <c r="L25" s="401"/>
      <c r="M25" s="23"/>
      <c r="AD25" s="27"/>
    </row>
    <row r="26" spans="1:33" ht="15.75" thickBot="1" x14ac:dyDescent="0.25">
      <c r="H26" s="26"/>
      <c r="I26" s="23"/>
      <c r="L26" s="26"/>
      <c r="M26" s="23"/>
    </row>
    <row r="27" spans="1:33" ht="18.75" x14ac:dyDescent="0.3">
      <c r="A27" s="602" t="s">
        <v>355</v>
      </c>
      <c r="B27" s="603"/>
      <c r="C27" s="603"/>
      <c r="D27" s="603"/>
      <c r="E27" s="604"/>
      <c r="F27" s="522"/>
      <c r="G27" s="88"/>
      <c r="H27" s="88"/>
      <c r="I27" s="88"/>
      <c r="P27" s="507"/>
    </row>
    <row r="28" spans="1:33" ht="18.75" x14ac:dyDescent="0.3">
      <c r="A28" s="605" t="s">
        <v>357</v>
      </c>
      <c r="B28" s="606"/>
      <c r="C28" s="606"/>
      <c r="D28" s="606"/>
      <c r="E28" s="607"/>
      <c r="F28" s="84"/>
      <c r="G28" s="88"/>
      <c r="H28" s="88"/>
      <c r="I28" s="88"/>
    </row>
    <row r="29" spans="1:33" ht="18.75" x14ac:dyDescent="0.3">
      <c r="A29" s="605" t="str">
        <f>A10</f>
        <v>As of and for the Year Ended June 30, 2024</v>
      </c>
      <c r="B29" s="606"/>
      <c r="C29" s="606"/>
      <c r="D29" s="606"/>
      <c r="E29" s="607"/>
      <c r="F29" s="84"/>
      <c r="G29" s="88"/>
      <c r="H29" s="88"/>
      <c r="I29" s="88"/>
    </row>
    <row r="30" spans="1:33" x14ac:dyDescent="0.2">
      <c r="A30" s="79"/>
      <c r="E30" s="77"/>
      <c r="F30" s="77"/>
      <c r="J30" s="26"/>
    </row>
    <row r="31" spans="1:33" ht="27" x14ac:dyDescent="0.3">
      <c r="A31" s="83" t="s">
        <v>358</v>
      </c>
      <c r="B31" s="85" t="s">
        <v>330</v>
      </c>
      <c r="C31" s="86"/>
      <c r="E31" s="77"/>
      <c r="F31" s="523" t="s">
        <v>91</v>
      </c>
      <c r="J31" s="26"/>
    </row>
    <row r="32" spans="1:33" x14ac:dyDescent="0.2">
      <c r="A32" s="79"/>
      <c r="E32" s="77"/>
      <c r="F32" s="77"/>
      <c r="J32" s="26"/>
      <c r="P32" s="353"/>
    </row>
    <row r="33" spans="1:16" ht="15.75" x14ac:dyDescent="0.25">
      <c r="A33" s="517" t="str">
        <f>A15</f>
        <v>(insert name of LEA)</v>
      </c>
      <c r="B33" s="48">
        <v>0</v>
      </c>
      <c r="C33" s="524"/>
      <c r="E33" s="77"/>
      <c r="F33" s="411">
        <v>0</v>
      </c>
      <c r="G33" s="525"/>
      <c r="I33" s="525"/>
      <c r="P33" s="353"/>
    </row>
    <row r="34" spans="1:16" ht="18.75" x14ac:dyDescent="0.3">
      <c r="A34" s="515"/>
      <c r="B34" s="513"/>
      <c r="E34" s="77"/>
      <c r="F34" s="412" t="s">
        <v>571</v>
      </c>
      <c r="P34" s="353"/>
    </row>
    <row r="35" spans="1:16" ht="15.75" x14ac:dyDescent="0.25">
      <c r="A35" s="517" t="s">
        <v>313</v>
      </c>
      <c r="B35" s="455">
        <v>30000000</v>
      </c>
      <c r="C35" s="524"/>
      <c r="E35" s="77"/>
      <c r="F35" s="558">
        <v>0.75850473779000005</v>
      </c>
      <c r="G35" s="525"/>
      <c r="I35" s="525"/>
      <c r="P35" s="353"/>
    </row>
    <row r="36" spans="1:16" ht="15.75" x14ac:dyDescent="0.25">
      <c r="A36" s="517" t="s">
        <v>314</v>
      </c>
      <c r="B36" s="455">
        <v>0</v>
      </c>
      <c r="C36" s="524"/>
      <c r="E36" s="77"/>
      <c r="F36" s="558">
        <v>0</v>
      </c>
      <c r="G36" s="525"/>
      <c r="I36" s="525"/>
      <c r="P36" s="353"/>
    </row>
    <row r="37" spans="1:16" ht="15.75" x14ac:dyDescent="0.25">
      <c r="A37" s="517" t="s">
        <v>315</v>
      </c>
      <c r="B37" s="455">
        <v>0</v>
      </c>
      <c r="C37" s="524"/>
      <c r="E37" s="77"/>
      <c r="F37" s="558">
        <v>0</v>
      </c>
      <c r="G37" s="525"/>
      <c r="I37" s="525"/>
      <c r="J37" s="421"/>
      <c r="P37" s="353"/>
    </row>
    <row r="38" spans="1:16" ht="15.75" x14ac:dyDescent="0.25">
      <c r="A38" s="517" t="s">
        <v>192</v>
      </c>
      <c r="B38" s="559">
        <f>'CY Schedule Calcs'!B72</f>
        <v>7176525</v>
      </c>
      <c r="C38" s="524"/>
      <c r="E38" s="77"/>
      <c r="F38" s="560">
        <f>'CY Schedule Calcs'!C72</f>
        <v>0.18144758360999994</v>
      </c>
      <c r="G38" s="525"/>
      <c r="I38" s="525"/>
      <c r="J38" s="421"/>
      <c r="P38" s="353"/>
    </row>
    <row r="39" spans="1:16" ht="16.5" thickBot="1" x14ac:dyDescent="0.3">
      <c r="A39" s="518" t="s">
        <v>316</v>
      </c>
      <c r="B39" s="561">
        <v>39551500</v>
      </c>
      <c r="C39" s="562"/>
      <c r="D39" s="45"/>
      <c r="E39" s="192"/>
      <c r="F39" s="563">
        <v>1</v>
      </c>
      <c r="G39" s="525"/>
      <c r="I39" s="525"/>
      <c r="P39" s="353"/>
    </row>
    <row r="40" spans="1:16" x14ac:dyDescent="0.2">
      <c r="A40" s="79"/>
      <c r="P40" s="353"/>
    </row>
    <row r="41" spans="1:16" ht="15.75" thickBot="1" x14ac:dyDescent="0.25">
      <c r="A41" s="79"/>
      <c r="P41" s="353"/>
    </row>
    <row r="42" spans="1:16" ht="18.75" x14ac:dyDescent="0.3">
      <c r="A42" s="602" t="s">
        <v>93</v>
      </c>
      <c r="B42" s="603"/>
      <c r="C42" s="603"/>
      <c r="D42" s="603"/>
      <c r="E42" s="604"/>
      <c r="F42" s="522"/>
      <c r="G42" s="88"/>
      <c r="H42" s="88"/>
      <c r="I42" s="88"/>
      <c r="P42" s="353"/>
    </row>
    <row r="43" spans="1:16" ht="18.75" x14ac:dyDescent="0.3">
      <c r="A43" s="605" t="str">
        <f>A9</f>
        <v>Schedule of Other Post-Employment Amounts by Employer</v>
      </c>
      <c r="B43" s="606"/>
      <c r="C43" s="606"/>
      <c r="D43" s="606"/>
      <c r="E43" s="607"/>
      <c r="F43" s="84"/>
      <c r="G43" s="88"/>
      <c r="H43" s="88"/>
      <c r="I43" s="88"/>
      <c r="P43" s="353"/>
    </row>
    <row r="44" spans="1:16" ht="18.75" x14ac:dyDescent="0.3">
      <c r="A44" s="605" t="str">
        <f>A29</f>
        <v>As of and for the Year Ended June 30, 2024</v>
      </c>
      <c r="B44" s="606"/>
      <c r="C44" s="606"/>
      <c r="D44" s="606"/>
      <c r="E44" s="607"/>
      <c r="F44" s="84"/>
      <c r="G44" s="88"/>
      <c r="H44" s="88"/>
      <c r="I44" s="88"/>
      <c r="P44" s="353"/>
    </row>
    <row r="45" spans="1:16" x14ac:dyDescent="0.2">
      <c r="A45" s="79"/>
      <c r="E45" s="77"/>
      <c r="F45" s="77"/>
      <c r="P45" s="353"/>
    </row>
    <row r="46" spans="1:16" ht="18.75" x14ac:dyDescent="0.3">
      <c r="A46" s="83"/>
      <c r="B46" s="85"/>
      <c r="C46" s="86"/>
      <c r="E46" s="77"/>
      <c r="F46" s="77"/>
      <c r="H46" s="85"/>
      <c r="P46" s="353"/>
    </row>
    <row r="47" spans="1:16" x14ac:dyDescent="0.2">
      <c r="A47" s="79"/>
      <c r="E47" s="77"/>
      <c r="F47" s="77"/>
      <c r="P47" s="353"/>
    </row>
    <row r="48" spans="1:16" ht="15.75" x14ac:dyDescent="0.25">
      <c r="A48" s="600" t="s">
        <v>359</v>
      </c>
      <c r="B48" s="601"/>
      <c r="E48" s="77"/>
      <c r="F48" s="564">
        <v>7.3999999999999996E-2</v>
      </c>
      <c r="G48" s="525"/>
      <c r="I48" s="525"/>
      <c r="P48" s="353"/>
    </row>
    <row r="49" spans="1:18" ht="30" customHeight="1" x14ac:dyDescent="0.25">
      <c r="A49" s="600" t="s">
        <v>260</v>
      </c>
      <c r="B49" s="601"/>
      <c r="E49" s="77"/>
      <c r="F49" s="565">
        <v>3.4498000000000002</v>
      </c>
      <c r="G49" s="525"/>
      <c r="I49" s="525"/>
      <c r="P49" s="353"/>
    </row>
    <row r="50" spans="1:18" ht="30" customHeight="1" x14ac:dyDescent="0.25">
      <c r="A50" s="600" t="s">
        <v>580</v>
      </c>
      <c r="B50" s="601"/>
      <c r="E50" s="77"/>
      <c r="F50" s="566">
        <v>182034248</v>
      </c>
      <c r="G50" s="525"/>
      <c r="I50" s="525"/>
      <c r="P50" s="353"/>
    </row>
    <row r="51" spans="1:18" ht="30" customHeight="1" x14ac:dyDescent="0.25">
      <c r="A51" s="600" t="s">
        <v>581</v>
      </c>
      <c r="B51" s="601"/>
      <c r="E51" s="77"/>
      <c r="F51" s="566">
        <v>-227912710</v>
      </c>
      <c r="G51" s="525"/>
      <c r="I51" s="525"/>
      <c r="P51" s="353"/>
    </row>
    <row r="52" spans="1:18" x14ac:dyDescent="0.2">
      <c r="A52" s="79"/>
      <c r="E52" s="77"/>
      <c r="F52" s="77"/>
      <c r="P52" s="353"/>
    </row>
    <row r="53" spans="1:18" ht="25.5" customHeight="1" x14ac:dyDescent="0.2">
      <c r="A53" s="600" t="s">
        <v>582</v>
      </c>
      <c r="B53" s="601"/>
      <c r="E53" s="77"/>
      <c r="F53" s="566">
        <v>-327362095</v>
      </c>
      <c r="P53" s="353"/>
    </row>
    <row r="54" spans="1:18" ht="25.5" customHeight="1" thickBot="1" x14ac:dyDescent="0.25">
      <c r="A54" s="614" t="s">
        <v>583</v>
      </c>
      <c r="B54" s="615"/>
      <c r="C54" s="45"/>
      <c r="D54" s="45"/>
      <c r="E54" s="192"/>
      <c r="F54" s="567">
        <v>305338086</v>
      </c>
      <c r="P54" s="353"/>
    </row>
    <row r="55" spans="1:18" x14ac:dyDescent="0.2">
      <c r="P55" s="353"/>
      <c r="R55" s="354"/>
    </row>
    <row r="56" spans="1:18" x14ac:dyDescent="0.2">
      <c r="P56" s="353"/>
      <c r="R56" s="354"/>
    </row>
    <row r="57" spans="1:18" x14ac:dyDescent="0.2">
      <c r="P57" s="353"/>
      <c r="R57" s="354"/>
    </row>
    <row r="58" spans="1:18" x14ac:dyDescent="0.2">
      <c r="P58" s="353"/>
      <c r="R58" s="354"/>
    </row>
    <row r="59" spans="1:18" x14ac:dyDescent="0.2">
      <c r="P59" s="353"/>
      <c r="R59" s="354"/>
    </row>
    <row r="60" spans="1:18" x14ac:dyDescent="0.2">
      <c r="P60" s="353"/>
      <c r="R60" s="354"/>
    </row>
    <row r="61" spans="1:18" x14ac:dyDescent="0.2">
      <c r="P61" s="353"/>
      <c r="R61" s="354"/>
    </row>
    <row r="62" spans="1:18" x14ac:dyDescent="0.2">
      <c r="P62" s="353"/>
      <c r="R62" s="354"/>
    </row>
    <row r="63" spans="1:18" x14ac:dyDescent="0.2">
      <c r="P63" s="353"/>
      <c r="R63" s="354"/>
    </row>
    <row r="64" spans="1:18" x14ac:dyDescent="0.2">
      <c r="P64" s="353"/>
      <c r="R64" s="354"/>
    </row>
    <row r="65" spans="16:18" x14ac:dyDescent="0.2">
      <c r="P65" s="353"/>
      <c r="R65" s="354"/>
    </row>
    <row r="66" spans="16:18" x14ac:dyDescent="0.2">
      <c r="P66" s="353"/>
      <c r="R66" s="354"/>
    </row>
    <row r="67" spans="16:18" x14ac:dyDescent="0.2">
      <c r="P67" s="353"/>
      <c r="R67" s="354"/>
    </row>
    <row r="68" spans="16:18" x14ac:dyDescent="0.2">
      <c r="P68" s="353"/>
      <c r="R68" s="354"/>
    </row>
    <row r="69" spans="16:18" x14ac:dyDescent="0.2">
      <c r="P69" s="353"/>
      <c r="R69" s="354"/>
    </row>
    <row r="70" spans="16:18" x14ac:dyDescent="0.2">
      <c r="P70" s="353"/>
      <c r="R70" s="354"/>
    </row>
    <row r="71" spans="16:18" x14ac:dyDescent="0.2">
      <c r="P71" s="353"/>
      <c r="R71" s="354"/>
    </row>
    <row r="72" spans="16:18" x14ac:dyDescent="0.2">
      <c r="P72" s="353"/>
      <c r="R72" s="354"/>
    </row>
    <row r="73" spans="16:18" x14ac:dyDescent="0.2">
      <c r="P73" s="353"/>
      <c r="R73" s="354"/>
    </row>
    <row r="74" spans="16:18" x14ac:dyDescent="0.2">
      <c r="P74" s="353"/>
      <c r="R74" s="354"/>
    </row>
    <row r="75" spans="16:18" x14ac:dyDescent="0.2">
      <c r="P75" s="353"/>
      <c r="R75" s="354"/>
    </row>
    <row r="76" spans="16:18" x14ac:dyDescent="0.2">
      <c r="P76" s="353"/>
      <c r="R76" s="354"/>
    </row>
    <row r="77" spans="16:18" x14ac:dyDescent="0.2">
      <c r="P77" s="353"/>
      <c r="R77" s="354"/>
    </row>
    <row r="78" spans="16:18" x14ac:dyDescent="0.2">
      <c r="P78" s="353"/>
      <c r="R78" s="354"/>
    </row>
    <row r="79" spans="16:18" x14ac:dyDescent="0.2">
      <c r="P79" s="353"/>
      <c r="R79" s="354"/>
    </row>
    <row r="80" spans="16:18" x14ac:dyDescent="0.2">
      <c r="P80" s="353"/>
      <c r="R80" s="354"/>
    </row>
    <row r="81" spans="16:18" x14ac:dyDescent="0.2">
      <c r="P81" s="353"/>
      <c r="R81" s="354"/>
    </row>
    <row r="82" spans="16:18" x14ac:dyDescent="0.2">
      <c r="P82" s="353"/>
      <c r="R82" s="354"/>
    </row>
    <row r="83" spans="16:18" x14ac:dyDescent="0.2">
      <c r="P83" s="353"/>
      <c r="R83" s="354"/>
    </row>
    <row r="84" spans="16:18" x14ac:dyDescent="0.2">
      <c r="P84" s="353"/>
      <c r="R84" s="354"/>
    </row>
    <row r="85" spans="16:18" x14ac:dyDescent="0.2">
      <c r="P85" s="353"/>
      <c r="R85" s="354"/>
    </row>
    <row r="86" spans="16:18" x14ac:dyDescent="0.2">
      <c r="P86" s="353"/>
      <c r="R86" s="354"/>
    </row>
    <row r="87" spans="16:18" x14ac:dyDescent="0.2">
      <c r="P87" s="353"/>
      <c r="R87" s="354"/>
    </row>
    <row r="88" spans="16:18" x14ac:dyDescent="0.2">
      <c r="P88" s="24"/>
      <c r="R88" s="352"/>
    </row>
    <row r="89" spans="16:18" x14ac:dyDescent="0.2">
      <c r="P89" s="24"/>
      <c r="R89" s="352"/>
    </row>
    <row r="90" spans="16:18" x14ac:dyDescent="0.2">
      <c r="P90" s="24"/>
      <c r="R90" s="352"/>
    </row>
    <row r="91" spans="16:18" x14ac:dyDescent="0.2">
      <c r="P91" s="24"/>
      <c r="R91" s="352"/>
    </row>
    <row r="92" spans="16:18" x14ac:dyDescent="0.2">
      <c r="P92" s="24"/>
      <c r="R92" s="352"/>
    </row>
    <row r="93" spans="16:18" x14ac:dyDescent="0.2">
      <c r="P93" s="24"/>
      <c r="R93" s="352"/>
    </row>
    <row r="94" spans="16:18" x14ac:dyDescent="0.2">
      <c r="P94" s="24"/>
      <c r="R94" s="352"/>
    </row>
    <row r="95" spans="16:18" x14ac:dyDescent="0.2">
      <c r="P95" s="24"/>
      <c r="R95" s="352"/>
    </row>
    <row r="96" spans="16:18" x14ac:dyDescent="0.2">
      <c r="P96" s="24"/>
      <c r="R96" s="352"/>
    </row>
    <row r="97" spans="16:18" x14ac:dyDescent="0.2">
      <c r="P97" s="24"/>
      <c r="R97" s="352"/>
    </row>
    <row r="98" spans="16:18" x14ac:dyDescent="0.2">
      <c r="P98" s="24"/>
      <c r="R98" s="352"/>
    </row>
    <row r="99" spans="16:18" x14ac:dyDescent="0.2">
      <c r="P99" s="24"/>
      <c r="R99" s="352"/>
    </row>
    <row r="100" spans="16:18" x14ac:dyDescent="0.2">
      <c r="P100" s="24"/>
      <c r="R100" s="352"/>
    </row>
    <row r="101" spans="16:18" x14ac:dyDescent="0.2">
      <c r="P101" s="24"/>
      <c r="R101" s="352"/>
    </row>
    <row r="102" spans="16:18" x14ac:dyDescent="0.2">
      <c r="P102" s="24"/>
      <c r="R102" s="352"/>
    </row>
    <row r="103" spans="16:18" x14ac:dyDescent="0.2">
      <c r="P103" s="24"/>
      <c r="R103" s="352"/>
    </row>
    <row r="104" spans="16:18" x14ac:dyDescent="0.2">
      <c r="P104" s="24"/>
      <c r="R104" s="352"/>
    </row>
    <row r="105" spans="16:18" x14ac:dyDescent="0.2">
      <c r="P105" s="24"/>
      <c r="R105" s="352"/>
    </row>
    <row r="106" spans="16:18" x14ac:dyDescent="0.2">
      <c r="P106" s="24"/>
      <c r="R106" s="352"/>
    </row>
    <row r="107" spans="16:18" x14ac:dyDescent="0.2">
      <c r="P107" s="24"/>
      <c r="R107" s="352"/>
    </row>
    <row r="108" spans="16:18" x14ac:dyDescent="0.2">
      <c r="P108" s="24"/>
      <c r="R108" s="352"/>
    </row>
    <row r="109" spans="16:18" x14ac:dyDescent="0.2">
      <c r="P109" s="24"/>
      <c r="R109" s="352"/>
    </row>
    <row r="110" spans="16:18" x14ac:dyDescent="0.2">
      <c r="P110" s="24"/>
      <c r="R110" s="352"/>
    </row>
    <row r="111" spans="16:18" x14ac:dyDescent="0.2">
      <c r="P111" s="24"/>
      <c r="R111" s="352"/>
    </row>
    <row r="112" spans="16:18" x14ac:dyDescent="0.2">
      <c r="P112" s="24"/>
      <c r="R112" s="352"/>
    </row>
    <row r="113" spans="16:18" x14ac:dyDescent="0.2">
      <c r="P113" s="24"/>
      <c r="R113" s="352"/>
    </row>
    <row r="114" spans="16:18" x14ac:dyDescent="0.2">
      <c r="P114" s="24"/>
      <c r="R114" s="352"/>
    </row>
    <row r="115" spans="16:18" x14ac:dyDescent="0.2">
      <c r="P115" s="24"/>
      <c r="R115" s="352"/>
    </row>
    <row r="116" spans="16:18" x14ac:dyDescent="0.2">
      <c r="P116" s="24"/>
      <c r="R116" s="352"/>
    </row>
    <row r="117" spans="16:18" x14ac:dyDescent="0.2">
      <c r="P117" s="24"/>
      <c r="R117" s="352"/>
    </row>
    <row r="118" spans="16:18" x14ac:dyDescent="0.2">
      <c r="P118" s="24"/>
      <c r="R118" s="352"/>
    </row>
    <row r="119" spans="16:18" x14ac:dyDescent="0.2">
      <c r="P119" s="24"/>
      <c r="R119" s="352"/>
    </row>
    <row r="120" spans="16:18" x14ac:dyDescent="0.2">
      <c r="P120" s="24"/>
      <c r="R120" s="352"/>
    </row>
    <row r="121" spans="16:18" x14ac:dyDescent="0.2">
      <c r="P121" s="24"/>
      <c r="R121" s="352"/>
    </row>
    <row r="122" spans="16:18" x14ac:dyDescent="0.2">
      <c r="P122" s="24"/>
      <c r="R122" s="352"/>
    </row>
    <row r="123" spans="16:18" x14ac:dyDescent="0.2">
      <c r="P123" s="24"/>
      <c r="R123" s="352"/>
    </row>
    <row r="124" spans="16:18" x14ac:dyDescent="0.2">
      <c r="P124" s="24"/>
      <c r="R124" s="352"/>
    </row>
    <row r="125" spans="16:18" x14ac:dyDescent="0.2">
      <c r="P125" s="24"/>
      <c r="R125" s="352"/>
    </row>
    <row r="126" spans="16:18" x14ac:dyDescent="0.2">
      <c r="P126" s="24"/>
      <c r="R126" s="352"/>
    </row>
    <row r="127" spans="16:18" x14ac:dyDescent="0.2">
      <c r="P127" s="24"/>
      <c r="R127" s="352"/>
    </row>
    <row r="128" spans="16:18" x14ac:dyDescent="0.2">
      <c r="P128" s="24"/>
      <c r="R128" s="352"/>
    </row>
    <row r="129" spans="16:18" x14ac:dyDescent="0.2">
      <c r="P129" s="24"/>
      <c r="R129" s="352"/>
    </row>
    <row r="130" spans="16:18" x14ac:dyDescent="0.2">
      <c r="P130" s="24"/>
      <c r="R130" s="352"/>
    </row>
    <row r="131" spans="16:18" x14ac:dyDescent="0.2">
      <c r="P131" s="24"/>
      <c r="R131" s="352"/>
    </row>
    <row r="132" spans="16:18" x14ac:dyDescent="0.2">
      <c r="P132" s="24"/>
      <c r="R132" s="352"/>
    </row>
    <row r="133" spans="16:18" x14ac:dyDescent="0.2">
      <c r="P133" s="24"/>
      <c r="R133" s="352"/>
    </row>
    <row r="134" spans="16:18" x14ac:dyDescent="0.2">
      <c r="P134" s="24"/>
      <c r="R134" s="352"/>
    </row>
    <row r="135" spans="16:18" x14ac:dyDescent="0.2">
      <c r="P135" s="24"/>
      <c r="R135" s="352"/>
    </row>
    <row r="136" spans="16:18" x14ac:dyDescent="0.2">
      <c r="P136" s="24"/>
      <c r="R136" s="352"/>
    </row>
    <row r="137" spans="16:18" x14ac:dyDescent="0.2">
      <c r="P137" s="24"/>
      <c r="R137" s="352"/>
    </row>
    <row r="138" spans="16:18" x14ac:dyDescent="0.2">
      <c r="P138" s="24"/>
      <c r="R138" s="352"/>
    </row>
    <row r="139" spans="16:18" x14ac:dyDescent="0.2">
      <c r="P139" s="24"/>
      <c r="R139" s="352"/>
    </row>
    <row r="140" spans="16:18" x14ac:dyDescent="0.2">
      <c r="P140" s="24"/>
      <c r="R140" s="352"/>
    </row>
    <row r="141" spans="16:18" x14ac:dyDescent="0.2">
      <c r="P141" s="24"/>
      <c r="R141" s="352"/>
    </row>
    <row r="142" spans="16:18" x14ac:dyDescent="0.2">
      <c r="P142" s="24"/>
      <c r="R142" s="352"/>
    </row>
    <row r="143" spans="16:18" x14ac:dyDescent="0.2">
      <c r="P143" s="24"/>
      <c r="R143" s="352"/>
    </row>
    <row r="144" spans="16:18" x14ac:dyDescent="0.2">
      <c r="P144" s="24"/>
      <c r="R144" s="352"/>
    </row>
    <row r="145" spans="16:18" x14ac:dyDescent="0.2">
      <c r="P145" s="24"/>
      <c r="R145" s="352"/>
    </row>
    <row r="146" spans="16:18" x14ac:dyDescent="0.2">
      <c r="P146" s="24"/>
      <c r="R146" s="352"/>
    </row>
    <row r="147" spans="16:18" x14ac:dyDescent="0.2">
      <c r="P147" s="24"/>
      <c r="R147" s="352"/>
    </row>
    <row r="148" spans="16:18" x14ac:dyDescent="0.2">
      <c r="P148" s="24"/>
      <c r="R148" s="352"/>
    </row>
    <row r="149" spans="16:18" x14ac:dyDescent="0.2">
      <c r="P149" s="24"/>
      <c r="R149" s="352"/>
    </row>
    <row r="150" spans="16:18" x14ac:dyDescent="0.2">
      <c r="P150" s="24"/>
      <c r="R150" s="352"/>
    </row>
    <row r="151" spans="16:18" x14ac:dyDescent="0.2">
      <c r="P151" s="24"/>
      <c r="R151" s="352"/>
    </row>
    <row r="152" spans="16:18" x14ac:dyDescent="0.2">
      <c r="P152" s="24"/>
      <c r="R152" s="352"/>
    </row>
    <row r="153" spans="16:18" x14ac:dyDescent="0.2">
      <c r="P153" s="24"/>
      <c r="R153" s="352"/>
    </row>
    <row r="154" spans="16:18" x14ac:dyDescent="0.2">
      <c r="P154" s="24"/>
      <c r="R154" s="352"/>
    </row>
    <row r="155" spans="16:18" x14ac:dyDescent="0.2">
      <c r="P155" s="24"/>
      <c r="R155" s="352"/>
    </row>
    <row r="156" spans="16:18" x14ac:dyDescent="0.2">
      <c r="P156" s="24"/>
      <c r="R156" s="352"/>
    </row>
    <row r="157" spans="16:18" x14ac:dyDescent="0.2">
      <c r="P157" s="24"/>
      <c r="R157" s="352"/>
    </row>
    <row r="158" spans="16:18" x14ac:dyDescent="0.2">
      <c r="P158" s="24"/>
      <c r="R158" s="352"/>
    </row>
    <row r="159" spans="16:18" x14ac:dyDescent="0.2">
      <c r="P159" s="24"/>
      <c r="R159" s="352"/>
    </row>
    <row r="160" spans="16:18" x14ac:dyDescent="0.2">
      <c r="P160" s="24"/>
      <c r="R160" s="352"/>
    </row>
    <row r="161" spans="16:18" x14ac:dyDescent="0.2">
      <c r="P161" s="24"/>
      <c r="R161" s="352"/>
    </row>
    <row r="162" spans="16:18" x14ac:dyDescent="0.2">
      <c r="P162" s="24"/>
      <c r="R162" s="352"/>
    </row>
    <row r="163" spans="16:18" x14ac:dyDescent="0.2">
      <c r="P163" s="24"/>
      <c r="R163" s="352"/>
    </row>
    <row r="164" spans="16:18" x14ac:dyDescent="0.2">
      <c r="P164" s="24"/>
      <c r="R164" s="352"/>
    </row>
    <row r="165" spans="16:18" x14ac:dyDescent="0.2">
      <c r="P165" s="24"/>
      <c r="R165" s="352"/>
    </row>
    <row r="166" spans="16:18" x14ac:dyDescent="0.2">
      <c r="P166" s="24"/>
      <c r="R166" s="352"/>
    </row>
    <row r="167" spans="16:18" x14ac:dyDescent="0.2">
      <c r="P167" s="24"/>
      <c r="R167" s="352"/>
    </row>
    <row r="168" spans="16:18" x14ac:dyDescent="0.2">
      <c r="P168" s="24"/>
      <c r="R168" s="352"/>
    </row>
    <row r="169" spans="16:18" x14ac:dyDescent="0.2">
      <c r="P169" s="24"/>
      <c r="R169" s="352"/>
    </row>
    <row r="170" spans="16:18" x14ac:dyDescent="0.2">
      <c r="P170" s="24"/>
      <c r="R170" s="352"/>
    </row>
    <row r="171" spans="16:18" x14ac:dyDescent="0.2">
      <c r="P171" s="24"/>
      <c r="R171" s="352"/>
    </row>
    <row r="172" spans="16:18" x14ac:dyDescent="0.2">
      <c r="P172" s="24"/>
      <c r="R172" s="352"/>
    </row>
    <row r="173" spans="16:18" x14ac:dyDescent="0.2">
      <c r="P173" s="24"/>
      <c r="R173" s="352"/>
    </row>
    <row r="174" spans="16:18" x14ac:dyDescent="0.2">
      <c r="P174" s="24"/>
      <c r="R174" s="352"/>
    </row>
    <row r="175" spans="16:18" x14ac:dyDescent="0.2">
      <c r="P175" s="24"/>
      <c r="R175" s="352"/>
    </row>
    <row r="176" spans="16:18" x14ac:dyDescent="0.2">
      <c r="P176" s="24"/>
      <c r="R176" s="352"/>
    </row>
    <row r="177" spans="16:18" x14ac:dyDescent="0.2">
      <c r="P177" s="24"/>
      <c r="R177" s="352"/>
    </row>
    <row r="178" spans="16:18" x14ac:dyDescent="0.2">
      <c r="P178" s="24"/>
      <c r="R178" s="352"/>
    </row>
    <row r="179" spans="16:18" x14ac:dyDescent="0.2">
      <c r="P179" s="24"/>
      <c r="R179" s="352"/>
    </row>
    <row r="180" spans="16:18" x14ac:dyDescent="0.2">
      <c r="P180" s="24"/>
      <c r="R180" s="352"/>
    </row>
    <row r="181" spans="16:18" x14ac:dyDescent="0.2">
      <c r="P181" s="24"/>
      <c r="R181" s="352"/>
    </row>
    <row r="182" spans="16:18" x14ac:dyDescent="0.2">
      <c r="P182" s="24"/>
      <c r="R182" s="352"/>
    </row>
    <row r="183" spans="16:18" x14ac:dyDescent="0.2">
      <c r="P183" s="24"/>
      <c r="R183" s="352"/>
    </row>
    <row r="184" spans="16:18" x14ac:dyDescent="0.2">
      <c r="P184" s="24"/>
      <c r="R184" s="352"/>
    </row>
    <row r="185" spans="16:18" x14ac:dyDescent="0.2">
      <c r="P185" s="24"/>
      <c r="R185" s="352"/>
    </row>
    <row r="186" spans="16:18" x14ac:dyDescent="0.2">
      <c r="P186" s="24"/>
      <c r="R186" s="352"/>
    </row>
    <row r="187" spans="16:18" x14ac:dyDescent="0.2">
      <c r="P187" s="24"/>
      <c r="R187" s="352"/>
    </row>
    <row r="188" spans="16:18" x14ac:dyDescent="0.2">
      <c r="P188" s="24"/>
      <c r="R188" s="352"/>
    </row>
    <row r="189" spans="16:18" x14ac:dyDescent="0.2">
      <c r="P189" s="24"/>
      <c r="R189" s="352"/>
    </row>
    <row r="190" spans="16:18" x14ac:dyDescent="0.2">
      <c r="P190" s="24"/>
      <c r="R190" s="352"/>
    </row>
    <row r="191" spans="16:18" x14ac:dyDescent="0.2">
      <c r="P191" s="24"/>
      <c r="R191" s="352"/>
    </row>
    <row r="192" spans="16:18" x14ac:dyDescent="0.2">
      <c r="P192" s="24"/>
      <c r="R192" s="352"/>
    </row>
    <row r="193" spans="16:18" x14ac:dyDescent="0.2">
      <c r="P193" s="24"/>
      <c r="R193" s="352"/>
    </row>
    <row r="194" spans="16:18" x14ac:dyDescent="0.2">
      <c r="P194" s="24"/>
      <c r="R194" s="352"/>
    </row>
    <row r="195" spans="16:18" x14ac:dyDescent="0.2">
      <c r="P195" s="24"/>
      <c r="R195" s="352"/>
    </row>
    <row r="196" spans="16:18" x14ac:dyDescent="0.2">
      <c r="P196" s="24"/>
      <c r="R196" s="352"/>
    </row>
    <row r="197" spans="16:18" x14ac:dyDescent="0.2">
      <c r="P197" s="24"/>
      <c r="R197" s="352"/>
    </row>
    <row r="198" spans="16:18" x14ac:dyDescent="0.2">
      <c r="P198" s="24"/>
      <c r="R198" s="352"/>
    </row>
    <row r="199" spans="16:18" x14ac:dyDescent="0.2">
      <c r="P199" s="24"/>
      <c r="R199" s="352"/>
    </row>
    <row r="200" spans="16:18" x14ac:dyDescent="0.2">
      <c r="P200" s="24"/>
      <c r="R200" s="352"/>
    </row>
    <row r="201" spans="16:18" x14ac:dyDescent="0.2">
      <c r="P201" s="24"/>
      <c r="R201" s="352"/>
    </row>
    <row r="202" spans="16:18" x14ac:dyDescent="0.2">
      <c r="P202" s="24"/>
      <c r="R202" s="352"/>
    </row>
    <row r="203" spans="16:18" x14ac:dyDescent="0.2">
      <c r="P203" s="24"/>
      <c r="R203" s="352"/>
    </row>
    <row r="204" spans="16:18" x14ac:dyDescent="0.2">
      <c r="P204" s="24"/>
      <c r="R204" s="352"/>
    </row>
    <row r="205" spans="16:18" x14ac:dyDescent="0.2">
      <c r="P205" s="24"/>
      <c r="R205" s="352"/>
    </row>
    <row r="206" spans="16:18" x14ac:dyDescent="0.2">
      <c r="P206" s="24"/>
      <c r="R206" s="352"/>
    </row>
    <row r="207" spans="16:18" x14ac:dyDescent="0.2">
      <c r="P207" s="24"/>
      <c r="R207" s="352"/>
    </row>
    <row r="208" spans="16:18" x14ac:dyDescent="0.2">
      <c r="P208" s="24"/>
      <c r="R208" s="352"/>
    </row>
    <row r="209" spans="16:18" x14ac:dyDescent="0.2">
      <c r="P209" s="24"/>
      <c r="R209" s="352"/>
    </row>
    <row r="210" spans="16:18" x14ac:dyDescent="0.2">
      <c r="P210" s="24"/>
      <c r="R210" s="352"/>
    </row>
    <row r="211" spans="16:18" x14ac:dyDescent="0.2">
      <c r="P211" s="24"/>
      <c r="R211" s="352"/>
    </row>
    <row r="212" spans="16:18" x14ac:dyDescent="0.2">
      <c r="P212" s="24"/>
      <c r="R212" s="352"/>
    </row>
    <row r="213" spans="16:18" x14ac:dyDescent="0.2">
      <c r="P213" s="24"/>
      <c r="R213" s="352"/>
    </row>
    <row r="214" spans="16:18" x14ac:dyDescent="0.2">
      <c r="P214" s="24"/>
      <c r="R214" s="352"/>
    </row>
    <row r="215" spans="16:18" x14ac:dyDescent="0.2">
      <c r="P215" s="24"/>
      <c r="R215" s="352"/>
    </row>
    <row r="216" spans="16:18" x14ac:dyDescent="0.2">
      <c r="P216" s="24"/>
      <c r="R216" s="352"/>
    </row>
    <row r="217" spans="16:18" x14ac:dyDescent="0.2">
      <c r="P217" s="24"/>
      <c r="R217" s="352"/>
    </row>
    <row r="218" spans="16:18" x14ac:dyDescent="0.2">
      <c r="P218" s="24"/>
      <c r="R218" s="352"/>
    </row>
    <row r="219" spans="16:18" x14ac:dyDescent="0.2">
      <c r="P219" s="24"/>
      <c r="R219" s="352"/>
    </row>
    <row r="220" spans="16:18" x14ac:dyDescent="0.2">
      <c r="P220" s="24"/>
      <c r="R220" s="352"/>
    </row>
    <row r="221" spans="16:18" x14ac:dyDescent="0.2">
      <c r="P221" s="24"/>
      <c r="R221" s="352"/>
    </row>
    <row r="222" spans="16:18" x14ac:dyDescent="0.2">
      <c r="P222" s="24"/>
      <c r="R222" s="352"/>
    </row>
    <row r="223" spans="16:18" x14ac:dyDescent="0.2">
      <c r="P223" s="24"/>
      <c r="R223" s="352"/>
    </row>
    <row r="224" spans="16:18" x14ac:dyDescent="0.2">
      <c r="P224" s="24"/>
      <c r="R224" s="352"/>
    </row>
    <row r="225" spans="16:18" x14ac:dyDescent="0.2">
      <c r="P225" s="24"/>
      <c r="R225" s="352"/>
    </row>
    <row r="226" spans="16:18" x14ac:dyDescent="0.2">
      <c r="P226" s="24"/>
      <c r="R226" s="352"/>
    </row>
    <row r="227" spans="16:18" x14ac:dyDescent="0.2">
      <c r="P227" s="24"/>
      <c r="R227" s="352"/>
    </row>
    <row r="228" spans="16:18" x14ac:dyDescent="0.2">
      <c r="P228" s="24"/>
      <c r="R228" s="352"/>
    </row>
    <row r="229" spans="16:18" x14ac:dyDescent="0.2">
      <c r="P229" s="24"/>
      <c r="R229" s="352"/>
    </row>
    <row r="230" spans="16:18" x14ac:dyDescent="0.2">
      <c r="P230" s="24"/>
      <c r="R230" s="352"/>
    </row>
    <row r="231" spans="16:18" x14ac:dyDescent="0.2">
      <c r="P231" s="24"/>
      <c r="R231" s="352"/>
    </row>
    <row r="232" spans="16:18" x14ac:dyDescent="0.2">
      <c r="P232" s="24"/>
      <c r="R232" s="352"/>
    </row>
    <row r="233" spans="16:18" x14ac:dyDescent="0.2">
      <c r="P233" s="24"/>
      <c r="R233" s="352"/>
    </row>
    <row r="234" spans="16:18" x14ac:dyDescent="0.2">
      <c r="P234" s="24"/>
      <c r="R234" s="352"/>
    </row>
    <row r="235" spans="16:18" x14ac:dyDescent="0.2">
      <c r="P235" s="24"/>
      <c r="R235" s="352"/>
    </row>
    <row r="236" spans="16:18" x14ac:dyDescent="0.2">
      <c r="P236" s="24"/>
      <c r="R236" s="352"/>
    </row>
    <row r="237" spans="16:18" x14ac:dyDescent="0.2">
      <c r="P237" s="24"/>
      <c r="R237" s="352"/>
    </row>
    <row r="238" spans="16:18" x14ac:dyDescent="0.2">
      <c r="P238" s="24"/>
      <c r="R238" s="352"/>
    </row>
    <row r="239" spans="16:18" x14ac:dyDescent="0.2">
      <c r="P239" s="24"/>
      <c r="R239" s="352"/>
    </row>
    <row r="240" spans="16:18" x14ac:dyDescent="0.2">
      <c r="P240" s="24"/>
      <c r="R240" s="352"/>
    </row>
    <row r="241" spans="16:18" x14ac:dyDescent="0.2">
      <c r="P241" s="24"/>
      <c r="R241" s="352"/>
    </row>
    <row r="242" spans="16:18" x14ac:dyDescent="0.2">
      <c r="P242" s="24"/>
      <c r="R242" s="352"/>
    </row>
    <row r="243" spans="16:18" x14ac:dyDescent="0.2">
      <c r="P243" s="24"/>
      <c r="R243" s="352"/>
    </row>
    <row r="244" spans="16:18" x14ac:dyDescent="0.2">
      <c r="P244" s="24"/>
      <c r="R244" s="352"/>
    </row>
    <row r="245" spans="16:18" x14ac:dyDescent="0.2">
      <c r="P245" s="24"/>
      <c r="R245" s="352"/>
    </row>
    <row r="246" spans="16:18" x14ac:dyDescent="0.2">
      <c r="P246" s="24"/>
      <c r="R246" s="352"/>
    </row>
    <row r="247" spans="16:18" x14ac:dyDescent="0.2">
      <c r="P247" s="24"/>
      <c r="R247" s="352"/>
    </row>
    <row r="248" spans="16:18" x14ac:dyDescent="0.2">
      <c r="P248" s="24"/>
      <c r="R248" s="352"/>
    </row>
    <row r="249" spans="16:18" x14ac:dyDescent="0.2">
      <c r="P249" s="24"/>
      <c r="R249" s="352"/>
    </row>
    <row r="250" spans="16:18" x14ac:dyDescent="0.2">
      <c r="P250" s="24"/>
      <c r="R250" s="352"/>
    </row>
    <row r="251" spans="16:18" x14ac:dyDescent="0.2">
      <c r="P251" s="24"/>
      <c r="R251" s="352"/>
    </row>
    <row r="252" spans="16:18" x14ac:dyDescent="0.2">
      <c r="P252" s="24"/>
      <c r="R252" s="352"/>
    </row>
    <row r="253" spans="16:18" x14ac:dyDescent="0.2">
      <c r="P253" s="24"/>
      <c r="R253" s="352"/>
    </row>
    <row r="254" spans="16:18" x14ac:dyDescent="0.2">
      <c r="P254" s="24"/>
      <c r="R254" s="352"/>
    </row>
    <row r="255" spans="16:18" x14ac:dyDescent="0.2">
      <c r="P255" s="24"/>
      <c r="R255" s="352"/>
    </row>
    <row r="256" spans="16:18" x14ac:dyDescent="0.2">
      <c r="P256" s="24"/>
      <c r="R256" s="352"/>
    </row>
    <row r="257" spans="16:18" x14ac:dyDescent="0.2">
      <c r="P257" s="24"/>
      <c r="R257" s="352"/>
    </row>
    <row r="258" spans="16:18" x14ac:dyDescent="0.2">
      <c r="P258" s="24"/>
      <c r="R258" s="352"/>
    </row>
    <row r="259" spans="16:18" x14ac:dyDescent="0.2">
      <c r="P259" s="24"/>
      <c r="R259" s="352"/>
    </row>
    <row r="260" spans="16:18" x14ac:dyDescent="0.2">
      <c r="P260" s="24"/>
      <c r="R260" s="352"/>
    </row>
    <row r="261" spans="16:18" x14ac:dyDescent="0.2">
      <c r="P261" s="24"/>
      <c r="R261" s="352"/>
    </row>
    <row r="262" spans="16:18" x14ac:dyDescent="0.2">
      <c r="P262" s="24"/>
      <c r="R262" s="352"/>
    </row>
    <row r="263" spans="16:18" x14ac:dyDescent="0.2">
      <c r="P263" s="24"/>
      <c r="R263" s="352"/>
    </row>
    <row r="264" spans="16:18" x14ac:dyDescent="0.2">
      <c r="P264" s="24"/>
      <c r="R264" s="352"/>
    </row>
    <row r="265" spans="16:18" x14ac:dyDescent="0.2">
      <c r="P265" s="24"/>
      <c r="R265" s="352"/>
    </row>
    <row r="266" spans="16:18" x14ac:dyDescent="0.2">
      <c r="P266" s="24"/>
      <c r="R266" s="352"/>
    </row>
    <row r="267" spans="16:18" x14ac:dyDescent="0.2">
      <c r="P267" s="24"/>
      <c r="R267" s="352"/>
    </row>
    <row r="268" spans="16:18" x14ac:dyDescent="0.2">
      <c r="P268" s="24"/>
      <c r="R268" s="352"/>
    </row>
    <row r="269" spans="16:18" x14ac:dyDescent="0.2">
      <c r="P269" s="24"/>
      <c r="R269" s="352"/>
    </row>
    <row r="270" spans="16:18" x14ac:dyDescent="0.2">
      <c r="P270" s="24"/>
      <c r="R270" s="352"/>
    </row>
    <row r="271" spans="16:18" x14ac:dyDescent="0.2">
      <c r="P271" s="24"/>
      <c r="R271" s="352"/>
    </row>
    <row r="272" spans="16:18" x14ac:dyDescent="0.2">
      <c r="P272" s="24"/>
      <c r="R272" s="352"/>
    </row>
    <row r="273" spans="16:18" x14ac:dyDescent="0.2">
      <c r="P273" s="24"/>
      <c r="R273" s="352"/>
    </row>
    <row r="274" spans="16:18" x14ac:dyDescent="0.2">
      <c r="P274" s="24"/>
      <c r="R274" s="352"/>
    </row>
    <row r="275" spans="16:18" x14ac:dyDescent="0.2">
      <c r="P275" s="24"/>
      <c r="R275" s="352"/>
    </row>
    <row r="276" spans="16:18" x14ac:dyDescent="0.2">
      <c r="P276" s="24"/>
      <c r="R276" s="352"/>
    </row>
    <row r="277" spans="16:18" x14ac:dyDescent="0.2">
      <c r="P277" s="24"/>
      <c r="R277" s="352"/>
    </row>
    <row r="278" spans="16:18" x14ac:dyDescent="0.2">
      <c r="P278" s="24"/>
      <c r="R278" s="352"/>
    </row>
    <row r="279" spans="16:18" x14ac:dyDescent="0.2">
      <c r="P279" s="24"/>
      <c r="R279" s="352"/>
    </row>
    <row r="280" spans="16:18" x14ac:dyDescent="0.2">
      <c r="P280" s="24"/>
      <c r="R280" s="352"/>
    </row>
    <row r="281" spans="16:18" x14ac:dyDescent="0.2">
      <c r="P281" s="24"/>
      <c r="R281" s="352"/>
    </row>
    <row r="282" spans="16:18" x14ac:dyDescent="0.2">
      <c r="P282" s="24"/>
      <c r="R282" s="352"/>
    </row>
    <row r="283" spans="16:18" x14ac:dyDescent="0.2">
      <c r="P283" s="24"/>
      <c r="R283" s="352"/>
    </row>
    <row r="284" spans="16:18" x14ac:dyDescent="0.2">
      <c r="P284" s="24"/>
      <c r="R284" s="352"/>
    </row>
    <row r="285" spans="16:18" x14ac:dyDescent="0.2">
      <c r="P285" s="24"/>
      <c r="R285" s="352"/>
    </row>
    <row r="286" spans="16:18" x14ac:dyDescent="0.2">
      <c r="P286" s="24"/>
      <c r="R286" s="352"/>
    </row>
    <row r="287" spans="16:18" x14ac:dyDescent="0.2">
      <c r="P287" s="24"/>
      <c r="R287" s="352"/>
    </row>
    <row r="288" spans="16:18" x14ac:dyDescent="0.2">
      <c r="P288" s="24"/>
      <c r="R288" s="352"/>
    </row>
    <row r="289" spans="16:18" x14ac:dyDescent="0.2">
      <c r="P289" s="24"/>
      <c r="R289" s="352"/>
    </row>
    <row r="290" spans="16:18" x14ac:dyDescent="0.2">
      <c r="P290" s="24"/>
      <c r="R290" s="352"/>
    </row>
    <row r="291" spans="16:18" x14ac:dyDescent="0.2">
      <c r="P291" s="24"/>
      <c r="R291" s="352"/>
    </row>
    <row r="292" spans="16:18" x14ac:dyDescent="0.2">
      <c r="P292" s="24"/>
      <c r="R292" s="352"/>
    </row>
    <row r="293" spans="16:18" x14ac:dyDescent="0.2">
      <c r="P293" s="24"/>
      <c r="R293" s="352"/>
    </row>
    <row r="294" spans="16:18" x14ac:dyDescent="0.2">
      <c r="P294" s="24"/>
      <c r="R294" s="352"/>
    </row>
    <row r="295" spans="16:18" x14ac:dyDescent="0.2">
      <c r="P295" s="24"/>
      <c r="R295" s="352"/>
    </row>
    <row r="296" spans="16:18" x14ac:dyDescent="0.2">
      <c r="P296" s="24"/>
      <c r="R296" s="352"/>
    </row>
    <row r="297" spans="16:18" x14ac:dyDescent="0.2">
      <c r="P297" s="24"/>
      <c r="R297" s="352"/>
    </row>
    <row r="298" spans="16:18" x14ac:dyDescent="0.2">
      <c r="P298" s="24"/>
      <c r="R298" s="352"/>
    </row>
    <row r="299" spans="16:18" x14ac:dyDescent="0.2">
      <c r="P299" s="24"/>
      <c r="R299" s="352"/>
    </row>
    <row r="300" spans="16:18" x14ac:dyDescent="0.2">
      <c r="P300" s="24"/>
      <c r="R300" s="352"/>
    </row>
    <row r="301" spans="16:18" x14ac:dyDescent="0.2">
      <c r="P301" s="24"/>
      <c r="R301" s="352"/>
    </row>
    <row r="302" spans="16:18" x14ac:dyDescent="0.2">
      <c r="P302" s="24"/>
      <c r="R302" s="352"/>
    </row>
    <row r="303" spans="16:18" x14ac:dyDescent="0.2">
      <c r="P303" s="24"/>
      <c r="R303" s="352"/>
    </row>
    <row r="304" spans="16:18" x14ac:dyDescent="0.2">
      <c r="P304" s="24"/>
      <c r="R304" s="352"/>
    </row>
    <row r="305" spans="16:18" x14ac:dyDescent="0.2">
      <c r="P305" s="24"/>
      <c r="R305" s="352"/>
    </row>
    <row r="306" spans="16:18" x14ac:dyDescent="0.2">
      <c r="P306" s="24"/>
      <c r="R306" s="352"/>
    </row>
    <row r="307" spans="16:18" x14ac:dyDescent="0.2">
      <c r="P307" s="24"/>
      <c r="R307" s="352"/>
    </row>
    <row r="308" spans="16:18" x14ac:dyDescent="0.2">
      <c r="P308" s="24"/>
      <c r="R308" s="352"/>
    </row>
    <row r="309" spans="16:18" x14ac:dyDescent="0.2">
      <c r="P309" s="24"/>
      <c r="R309" s="352"/>
    </row>
    <row r="310" spans="16:18" x14ac:dyDescent="0.2">
      <c r="P310" s="24"/>
      <c r="R310" s="352"/>
    </row>
    <row r="311" spans="16:18" x14ac:dyDescent="0.2">
      <c r="P311" s="24"/>
      <c r="R311" s="352"/>
    </row>
    <row r="312" spans="16:18" x14ac:dyDescent="0.2">
      <c r="P312" s="24"/>
      <c r="R312" s="352"/>
    </row>
    <row r="313" spans="16:18" x14ac:dyDescent="0.2">
      <c r="P313" s="24"/>
      <c r="R313" s="352"/>
    </row>
    <row r="314" spans="16:18" x14ac:dyDescent="0.2">
      <c r="P314" s="24"/>
      <c r="R314" s="352"/>
    </row>
    <row r="315" spans="16:18" x14ac:dyDescent="0.2">
      <c r="P315" s="24"/>
      <c r="R315" s="352"/>
    </row>
    <row r="316" spans="16:18" x14ac:dyDescent="0.2">
      <c r="P316" s="24"/>
      <c r="R316" s="352"/>
    </row>
    <row r="317" spans="16:18" x14ac:dyDescent="0.2">
      <c r="P317" s="24"/>
      <c r="R317" s="352"/>
    </row>
    <row r="318" spans="16:18" x14ac:dyDescent="0.2">
      <c r="P318" s="24"/>
      <c r="R318" s="352"/>
    </row>
    <row r="319" spans="16:18" x14ac:dyDescent="0.2">
      <c r="P319" s="24"/>
      <c r="R319" s="352"/>
    </row>
    <row r="320" spans="16:18" x14ac:dyDescent="0.2">
      <c r="P320" s="24"/>
      <c r="R320" s="352"/>
    </row>
    <row r="321" spans="16:18" x14ac:dyDescent="0.2">
      <c r="P321" s="24"/>
      <c r="R321" s="352"/>
    </row>
    <row r="322" spans="16:18" x14ac:dyDescent="0.2">
      <c r="P322" s="24"/>
      <c r="R322" s="352"/>
    </row>
    <row r="323" spans="16:18" x14ac:dyDescent="0.2">
      <c r="P323" s="24"/>
      <c r="R323" s="352"/>
    </row>
    <row r="324" spans="16:18" x14ac:dyDescent="0.2">
      <c r="P324" s="24"/>
      <c r="R324" s="352"/>
    </row>
    <row r="325" spans="16:18" x14ac:dyDescent="0.2">
      <c r="P325" s="24"/>
      <c r="R325" s="352"/>
    </row>
    <row r="326" spans="16:18" x14ac:dyDescent="0.2">
      <c r="P326" s="24"/>
      <c r="R326" s="352"/>
    </row>
    <row r="327" spans="16:18" x14ac:dyDescent="0.2">
      <c r="P327" s="24"/>
      <c r="R327" s="352"/>
    </row>
    <row r="328" spans="16:18" x14ac:dyDescent="0.2">
      <c r="P328" s="24"/>
      <c r="R328" s="352"/>
    </row>
    <row r="329" spans="16:18" x14ac:dyDescent="0.2">
      <c r="P329" s="24"/>
      <c r="R329" s="352"/>
    </row>
    <row r="330" spans="16:18" x14ac:dyDescent="0.2">
      <c r="P330" s="24"/>
      <c r="R330" s="352"/>
    </row>
    <row r="331" spans="16:18" x14ac:dyDescent="0.2">
      <c r="P331" s="24"/>
      <c r="R331" s="352"/>
    </row>
    <row r="332" spans="16:18" x14ac:dyDescent="0.2">
      <c r="P332" s="24"/>
      <c r="R332" s="352"/>
    </row>
    <row r="333" spans="16:18" x14ac:dyDescent="0.2">
      <c r="P333" s="24"/>
      <c r="R333" s="352"/>
    </row>
    <row r="334" spans="16:18" x14ac:dyDescent="0.2">
      <c r="P334" s="24"/>
      <c r="R334" s="352"/>
    </row>
    <row r="335" spans="16:18" x14ac:dyDescent="0.2">
      <c r="P335" s="24"/>
      <c r="R335" s="352"/>
    </row>
    <row r="336" spans="16:18" x14ac:dyDescent="0.2">
      <c r="P336" s="24"/>
      <c r="R336" s="352"/>
    </row>
    <row r="337" spans="16:18" x14ac:dyDescent="0.2">
      <c r="P337" s="24"/>
      <c r="R337" s="352"/>
    </row>
  </sheetData>
  <sheetProtection algorithmName="SHA-512" hashValue="CUcFoVRlUMEuKBwAuSPL5QULOPjMfDIIMLeDJGnDogEeZ4jCj5BnTkb389MKDTYkG9VxtyPNqLYIkzxbtci33g==" saltValue="aR/L+8kzj7DMCzwfHtEAhw==" spinCount="100000" sheet="1" objects="1" scenarios="1"/>
  <mergeCells count="19">
    <mergeCell ref="A53:B53"/>
    <mergeCell ref="A54:B54"/>
    <mergeCell ref="A50:B50"/>
    <mergeCell ref="A51:B51"/>
    <mergeCell ref="A49:B49"/>
    <mergeCell ref="A6:T7"/>
    <mergeCell ref="A48:B48"/>
    <mergeCell ref="A27:E27"/>
    <mergeCell ref="A28:E28"/>
    <mergeCell ref="A29:E29"/>
    <mergeCell ref="A42:E42"/>
    <mergeCell ref="A43:E43"/>
    <mergeCell ref="A44:E44"/>
    <mergeCell ref="A8:AG8"/>
    <mergeCell ref="A9:AG9"/>
    <mergeCell ref="A10:AG10"/>
    <mergeCell ref="D12:L12"/>
    <mergeCell ref="N12:X12"/>
    <mergeCell ref="Z12:AF1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E2D3A-149E-4CF8-8C1C-CCCABF59EF94}">
  <dimension ref="A3:C73"/>
  <sheetViews>
    <sheetView topLeftCell="A46" workbookViewId="0">
      <selection activeCell="H65" sqref="H65"/>
    </sheetView>
  </sheetViews>
  <sheetFormatPr defaultRowHeight="15" x14ac:dyDescent="0.2"/>
  <cols>
    <col min="1" max="1" width="26.77734375" customWidth="1"/>
    <col min="2" max="2" width="13.33203125" customWidth="1"/>
    <col min="3" max="3" width="17.21875" bestFit="1" customWidth="1"/>
  </cols>
  <sheetData>
    <row r="3" spans="1:3" ht="48" thickBot="1" x14ac:dyDescent="0.3">
      <c r="A3" s="369" t="s">
        <v>413</v>
      </c>
      <c r="B3" s="370" t="s">
        <v>330</v>
      </c>
      <c r="C3" s="370" t="s">
        <v>91</v>
      </c>
    </row>
    <row r="4" spans="1:3" x14ac:dyDescent="0.2">
      <c r="A4" t="s">
        <v>414</v>
      </c>
      <c r="B4" s="447">
        <v>17053</v>
      </c>
      <c r="C4" s="450">
        <v>4.3116543999999999E-4</v>
      </c>
    </row>
    <row r="5" spans="1:3" x14ac:dyDescent="0.2">
      <c r="A5" t="s">
        <v>415</v>
      </c>
      <c r="B5" s="447">
        <v>78068</v>
      </c>
      <c r="C5" s="450">
        <v>1.9738381700000001E-3</v>
      </c>
    </row>
    <row r="6" spans="1:3" x14ac:dyDescent="0.2">
      <c r="A6" t="s">
        <v>416</v>
      </c>
      <c r="B6" s="447">
        <v>41448</v>
      </c>
      <c r="C6" s="450">
        <v>1.04794989E-3</v>
      </c>
    </row>
    <row r="7" spans="1:3" x14ac:dyDescent="0.2">
      <c r="A7" t="s">
        <v>417</v>
      </c>
      <c r="B7" s="447">
        <v>31219</v>
      </c>
      <c r="C7" s="450">
        <v>7.8932228000000004E-4</v>
      </c>
    </row>
    <row r="8" spans="1:3" x14ac:dyDescent="0.2">
      <c r="A8" t="s">
        <v>418</v>
      </c>
      <c r="B8" s="447">
        <v>32127</v>
      </c>
      <c r="C8" s="450">
        <v>8.1227640000000004E-4</v>
      </c>
    </row>
    <row r="9" spans="1:3" x14ac:dyDescent="0.2">
      <c r="A9" t="s">
        <v>419</v>
      </c>
      <c r="B9" s="447">
        <v>86748</v>
      </c>
      <c r="C9" s="450">
        <v>2.1932824399999999E-3</v>
      </c>
    </row>
    <row r="10" spans="1:3" x14ac:dyDescent="0.2">
      <c r="A10" t="s">
        <v>420</v>
      </c>
      <c r="B10" s="447">
        <v>25179</v>
      </c>
      <c r="C10" s="450">
        <v>6.3662516000000005E-4</v>
      </c>
    </row>
    <row r="11" spans="1:3" x14ac:dyDescent="0.2">
      <c r="A11" t="s">
        <v>421</v>
      </c>
      <c r="B11" s="447">
        <v>8801</v>
      </c>
      <c r="C11" s="450">
        <v>2.2252405E-4</v>
      </c>
    </row>
    <row r="12" spans="1:3" x14ac:dyDescent="0.2">
      <c r="A12" t="s">
        <v>422</v>
      </c>
      <c r="B12" s="447">
        <v>6087</v>
      </c>
      <c r="C12" s="450">
        <v>1.5390668000000001E-4</v>
      </c>
    </row>
    <row r="13" spans="1:3" x14ac:dyDescent="0.2">
      <c r="A13" s="23" t="s">
        <v>469</v>
      </c>
      <c r="B13" s="447">
        <v>0</v>
      </c>
      <c r="C13" s="450">
        <v>0</v>
      </c>
    </row>
    <row r="14" spans="1:3" x14ac:dyDescent="0.2">
      <c r="A14" t="s">
        <v>423</v>
      </c>
      <c r="B14" s="447">
        <v>60626</v>
      </c>
      <c r="C14" s="450">
        <v>1.53284351E-3</v>
      </c>
    </row>
    <row r="15" spans="1:3" x14ac:dyDescent="0.2">
      <c r="A15" t="s">
        <v>424</v>
      </c>
      <c r="B15" s="447">
        <v>9167</v>
      </c>
      <c r="C15" s="450">
        <v>2.3177326E-4</v>
      </c>
    </row>
    <row r="16" spans="1:3" x14ac:dyDescent="0.2">
      <c r="A16" t="s">
        <v>425</v>
      </c>
      <c r="B16" s="447">
        <v>16950</v>
      </c>
      <c r="C16" s="450">
        <v>4.2855922E-4</v>
      </c>
    </row>
    <row r="17" spans="1:3" x14ac:dyDescent="0.2">
      <c r="A17" t="s">
        <v>426</v>
      </c>
      <c r="B17" s="447">
        <v>18341</v>
      </c>
      <c r="C17" s="450">
        <v>4.6373361999999999E-4</v>
      </c>
    </row>
    <row r="18" spans="1:3" x14ac:dyDescent="0.2">
      <c r="A18" t="s">
        <v>427</v>
      </c>
      <c r="B18" s="447">
        <v>22217</v>
      </c>
      <c r="C18" s="450">
        <v>5.6172863000000003E-4</v>
      </c>
    </row>
    <row r="19" spans="1:3" x14ac:dyDescent="0.2">
      <c r="A19" t="s">
        <v>428</v>
      </c>
      <c r="B19" s="447">
        <v>19909</v>
      </c>
      <c r="C19" s="450">
        <v>5.033622E-4</v>
      </c>
    </row>
    <row r="20" spans="1:3" x14ac:dyDescent="0.2">
      <c r="A20" t="s">
        <v>429</v>
      </c>
      <c r="B20" s="447">
        <v>14890</v>
      </c>
      <c r="C20" s="450">
        <v>3.7646207999999999E-4</v>
      </c>
    </row>
    <row r="21" spans="1:3" x14ac:dyDescent="0.2">
      <c r="A21" t="s">
        <v>430</v>
      </c>
      <c r="B21" s="447">
        <v>94062</v>
      </c>
      <c r="C21" s="450">
        <v>2.3782228299999999E-3</v>
      </c>
    </row>
    <row r="22" spans="1:3" x14ac:dyDescent="0.2">
      <c r="A22" t="s">
        <v>431</v>
      </c>
      <c r="B22" s="447">
        <v>110881</v>
      </c>
      <c r="C22" s="450">
        <v>2.8034696700000002E-3</v>
      </c>
    </row>
    <row r="23" spans="1:3" x14ac:dyDescent="0.2">
      <c r="A23" t="s">
        <v>432</v>
      </c>
      <c r="B23" s="447">
        <v>32656</v>
      </c>
      <c r="C23" s="450">
        <v>8.2565920999999999E-4</v>
      </c>
    </row>
    <row r="24" spans="1:3" x14ac:dyDescent="0.2">
      <c r="A24" t="s">
        <v>433</v>
      </c>
      <c r="B24" s="447">
        <v>262471</v>
      </c>
      <c r="C24" s="450">
        <v>6.6361741300000002E-3</v>
      </c>
    </row>
    <row r="25" spans="1:3" x14ac:dyDescent="0.2">
      <c r="A25" t="s">
        <v>434</v>
      </c>
      <c r="B25" s="447">
        <v>77043</v>
      </c>
      <c r="C25" s="450">
        <v>1.9479203199999999E-3</v>
      </c>
    </row>
    <row r="26" spans="1:3" x14ac:dyDescent="0.2">
      <c r="A26" t="s">
        <v>435</v>
      </c>
      <c r="B26" s="447">
        <v>10857</v>
      </c>
      <c r="C26" s="450">
        <v>2.7449982999999998E-4</v>
      </c>
    </row>
    <row r="27" spans="1:3" x14ac:dyDescent="0.2">
      <c r="A27" t="s">
        <v>436</v>
      </c>
      <c r="B27" s="447">
        <v>34082</v>
      </c>
      <c r="C27" s="450">
        <v>8.6170639000000002E-4</v>
      </c>
    </row>
    <row r="28" spans="1:3" x14ac:dyDescent="0.2">
      <c r="A28" t="s">
        <v>437</v>
      </c>
      <c r="B28" s="447">
        <v>44330</v>
      </c>
      <c r="C28" s="450">
        <v>1.12081034E-3</v>
      </c>
    </row>
    <row r="29" spans="1:3" x14ac:dyDescent="0.2">
      <c r="A29" t="s">
        <v>438</v>
      </c>
      <c r="B29" s="447">
        <v>50693</v>
      </c>
      <c r="C29" s="450">
        <v>1.28170386E-3</v>
      </c>
    </row>
    <row r="30" spans="1:3" x14ac:dyDescent="0.2">
      <c r="A30" t="s">
        <v>439</v>
      </c>
      <c r="B30" s="447">
        <v>32441</v>
      </c>
      <c r="C30" s="450">
        <v>8.2022427000000005E-4</v>
      </c>
    </row>
    <row r="31" spans="1:3" x14ac:dyDescent="0.2">
      <c r="A31" t="s">
        <v>440</v>
      </c>
      <c r="B31" s="447">
        <v>45253</v>
      </c>
      <c r="C31" s="450">
        <v>1.1441545899999999E-3</v>
      </c>
    </row>
    <row r="32" spans="1:3" x14ac:dyDescent="0.2">
      <c r="A32" t="s">
        <v>441</v>
      </c>
      <c r="B32" s="447">
        <v>89277</v>
      </c>
      <c r="C32" s="450">
        <v>2.2572226199999998E-3</v>
      </c>
    </row>
    <row r="33" spans="1:3" x14ac:dyDescent="0.2">
      <c r="A33" t="s">
        <v>442</v>
      </c>
      <c r="B33" s="447">
        <v>12157</v>
      </c>
      <c r="C33" s="450">
        <v>3.0737393000000002E-4</v>
      </c>
    </row>
    <row r="34" spans="1:3" x14ac:dyDescent="0.2">
      <c r="A34" t="s">
        <v>443</v>
      </c>
      <c r="B34" s="447">
        <v>43598</v>
      </c>
      <c r="C34" s="450">
        <v>1.1023147100000001E-3</v>
      </c>
    </row>
    <row r="35" spans="1:3" x14ac:dyDescent="0.2">
      <c r="A35" t="s">
        <v>444</v>
      </c>
      <c r="B35" s="447">
        <v>86538</v>
      </c>
      <c r="C35" s="450">
        <v>2.1879744200000001E-3</v>
      </c>
    </row>
    <row r="36" spans="1:3" x14ac:dyDescent="0.2">
      <c r="A36" t="s">
        <v>445</v>
      </c>
      <c r="B36" s="447">
        <v>26601</v>
      </c>
      <c r="C36" s="450">
        <v>6.7256993999999996E-4</v>
      </c>
    </row>
    <row r="37" spans="1:3" x14ac:dyDescent="0.2">
      <c r="A37" t="s">
        <v>446</v>
      </c>
      <c r="B37" s="447">
        <v>7995</v>
      </c>
      <c r="C37" s="450">
        <v>2.0213695999999999E-4</v>
      </c>
    </row>
    <row r="38" spans="1:3" x14ac:dyDescent="0.2">
      <c r="A38" s="23" t="s">
        <v>470</v>
      </c>
      <c r="B38" s="447">
        <v>7176</v>
      </c>
      <c r="C38" s="450">
        <v>1.8143179999999999E-4</v>
      </c>
    </row>
    <row r="39" spans="1:3" x14ac:dyDescent="0.2">
      <c r="A39" t="s">
        <v>447</v>
      </c>
      <c r="B39" s="447">
        <v>64292</v>
      </c>
      <c r="C39" s="450">
        <v>1.6255148400000001E-3</v>
      </c>
    </row>
    <row r="40" spans="1:3" x14ac:dyDescent="0.2">
      <c r="A40" t="s">
        <v>448</v>
      </c>
      <c r="B40" s="447">
        <v>45993</v>
      </c>
      <c r="C40" s="450">
        <v>1.1628681600000001E-3</v>
      </c>
    </row>
    <row r="41" spans="1:3" x14ac:dyDescent="0.2">
      <c r="A41" t="s">
        <v>449</v>
      </c>
      <c r="B41" s="447">
        <v>33316</v>
      </c>
      <c r="C41" s="450">
        <v>8.4235490999999996E-4</v>
      </c>
    </row>
    <row r="42" spans="1:3" x14ac:dyDescent="0.2">
      <c r="A42" t="s">
        <v>450</v>
      </c>
      <c r="B42" s="447">
        <v>17889</v>
      </c>
      <c r="C42" s="450">
        <v>4.5229055999999998E-4</v>
      </c>
    </row>
    <row r="43" spans="1:3" x14ac:dyDescent="0.2">
      <c r="A43" t="s">
        <v>451</v>
      </c>
      <c r="B43" s="447">
        <v>4683</v>
      </c>
      <c r="C43" s="450">
        <v>1.1839956E-4</v>
      </c>
    </row>
    <row r="44" spans="1:3" x14ac:dyDescent="0.2">
      <c r="A44" t="s">
        <v>452</v>
      </c>
      <c r="B44" s="447">
        <v>72244</v>
      </c>
      <c r="C44" s="450">
        <v>1.8265825700000001E-3</v>
      </c>
    </row>
    <row r="45" spans="1:3" x14ac:dyDescent="0.2">
      <c r="A45" t="s">
        <v>453</v>
      </c>
      <c r="B45" s="447">
        <v>75176</v>
      </c>
      <c r="C45" s="450">
        <v>1.9006991000000001E-3</v>
      </c>
    </row>
    <row r="46" spans="1:3" x14ac:dyDescent="0.2">
      <c r="A46" t="s">
        <v>454</v>
      </c>
      <c r="B46" s="447">
        <v>83897</v>
      </c>
      <c r="C46" s="450">
        <v>2.1211979400000002E-3</v>
      </c>
    </row>
    <row r="47" spans="1:3" x14ac:dyDescent="0.2">
      <c r="A47" t="s">
        <v>455</v>
      </c>
      <c r="B47" s="447">
        <v>21365</v>
      </c>
      <c r="C47" s="450">
        <v>5.4017875999999999E-4</v>
      </c>
    </row>
    <row r="48" spans="1:3" x14ac:dyDescent="0.2">
      <c r="A48" t="s">
        <v>456</v>
      </c>
      <c r="B48" s="447">
        <v>21922</v>
      </c>
      <c r="C48" s="450">
        <v>5.5426974999999996E-4</v>
      </c>
    </row>
    <row r="49" spans="1:3" x14ac:dyDescent="0.2">
      <c r="A49" t="s">
        <v>457</v>
      </c>
      <c r="B49" s="447">
        <v>16969</v>
      </c>
      <c r="C49" s="450">
        <v>4.2904062000000001E-4</v>
      </c>
    </row>
    <row r="50" spans="1:3" x14ac:dyDescent="0.2">
      <c r="A50" s="23" t="s">
        <v>471</v>
      </c>
      <c r="B50" s="447">
        <v>0</v>
      </c>
      <c r="C50" s="450">
        <v>0</v>
      </c>
    </row>
    <row r="51" spans="1:3" x14ac:dyDescent="0.2">
      <c r="A51" t="s">
        <v>458</v>
      </c>
      <c r="B51" s="447">
        <v>12317</v>
      </c>
      <c r="C51" s="450">
        <v>3.1142839E-4</v>
      </c>
    </row>
    <row r="52" spans="1:3" x14ac:dyDescent="0.2">
      <c r="A52" t="s">
        <v>459</v>
      </c>
      <c r="B52" s="447">
        <v>20977</v>
      </c>
      <c r="C52" s="450">
        <v>5.3038317000000002E-4</v>
      </c>
    </row>
    <row r="53" spans="1:3" x14ac:dyDescent="0.2">
      <c r="A53" t="s">
        <v>460</v>
      </c>
      <c r="B53" s="447">
        <v>12655</v>
      </c>
      <c r="C53" s="450">
        <v>3.1997371000000002E-4</v>
      </c>
    </row>
    <row r="54" spans="1:3" x14ac:dyDescent="0.2">
      <c r="A54" t="s">
        <v>461</v>
      </c>
      <c r="B54" s="447">
        <v>61376</v>
      </c>
      <c r="C54" s="450">
        <v>1.5517995599999999E-3</v>
      </c>
    </row>
    <row r="55" spans="1:3" x14ac:dyDescent="0.2">
      <c r="A55" t="s">
        <v>462</v>
      </c>
      <c r="B55" s="447">
        <v>40430</v>
      </c>
      <c r="C55" s="450">
        <v>1.02221813E-3</v>
      </c>
    </row>
    <row r="56" spans="1:3" x14ac:dyDescent="0.2">
      <c r="A56" t="s">
        <v>463</v>
      </c>
      <c r="B56" s="447">
        <v>24066</v>
      </c>
      <c r="C56" s="450">
        <v>6.0846996999999996E-4</v>
      </c>
    </row>
    <row r="57" spans="1:3" x14ac:dyDescent="0.2">
      <c r="A57" t="s">
        <v>464</v>
      </c>
      <c r="B57" s="447">
        <v>33022</v>
      </c>
      <c r="C57" s="450">
        <v>8.3490058000000003E-4</v>
      </c>
    </row>
    <row r="58" spans="1:3" x14ac:dyDescent="0.2">
      <c r="A58" t="s">
        <v>465</v>
      </c>
      <c r="B58" s="447">
        <v>14132</v>
      </c>
      <c r="C58" s="450">
        <v>3.5730983999999999E-4</v>
      </c>
    </row>
    <row r="59" spans="1:3" x14ac:dyDescent="0.2">
      <c r="A59" t="s">
        <v>466</v>
      </c>
      <c r="B59" s="447">
        <v>10906</v>
      </c>
      <c r="C59" s="450">
        <v>2.7573670000000003E-4</v>
      </c>
    </row>
    <row r="60" spans="1:3" x14ac:dyDescent="0.2">
      <c r="A60" t="s">
        <v>467</v>
      </c>
      <c r="B60" s="447">
        <v>115119</v>
      </c>
      <c r="C60" s="450">
        <v>2.9106031500000002E-3</v>
      </c>
    </row>
    <row r="61" spans="1:3" ht="15.75" thickBot="1" x14ac:dyDescent="0.25">
      <c r="A61" s="45" t="s">
        <v>468</v>
      </c>
      <c r="B61" s="448">
        <v>15288</v>
      </c>
      <c r="C61" s="451">
        <v>3.8653578E-4</v>
      </c>
    </row>
    <row r="62" spans="1:3" x14ac:dyDescent="0.2">
      <c r="A62" s="23" t="s">
        <v>472</v>
      </c>
      <c r="B62" s="447">
        <f>SUM(B4:B61)</f>
        <v>2374975</v>
      </c>
      <c r="C62" s="450">
        <f>SUM(C4:C61)</f>
        <v>6.0047678600000015E-2</v>
      </c>
    </row>
    <row r="63" spans="1:3" x14ac:dyDescent="0.2">
      <c r="B63" s="446"/>
      <c r="C63" s="446"/>
    </row>
    <row r="64" spans="1:3" x14ac:dyDescent="0.2">
      <c r="B64" s="446"/>
      <c r="C64" s="446"/>
    </row>
    <row r="65" spans="1:3" ht="45" x14ac:dyDescent="0.2">
      <c r="A65" s="368" t="str">
        <f>'GASB 75 Sch Input CY'!A35</f>
        <v>State of WV Special Funding - OPEB Supplemental for Unfunded Liability</v>
      </c>
      <c r="B65" s="447">
        <f>'GASB 75 Sch Input CY'!B35</f>
        <v>30000000</v>
      </c>
      <c r="C65" s="450">
        <v>0.75850473779000005</v>
      </c>
    </row>
    <row r="66" spans="1:3" ht="30" x14ac:dyDescent="0.2">
      <c r="A66" s="368" t="str">
        <f>'GASB 75 Sch Input CY'!A36</f>
        <v>State of WV Special Funding - Financial Stability Fund</v>
      </c>
      <c r="B66" s="447">
        <f>'GASB 75 Sch Input CY'!B36</f>
        <v>0</v>
      </c>
      <c r="C66" s="450">
        <f>'GASB 75 Sch Input CY'!F36</f>
        <v>0</v>
      </c>
    </row>
    <row r="67" spans="1:3" ht="45" x14ac:dyDescent="0.2">
      <c r="A67" s="368" t="str">
        <f>'GASB 75 Sch Input CY'!A37</f>
        <v>State of WV Special Funding - Public School Support Plan (PSSP)</v>
      </c>
      <c r="B67" s="447">
        <f>'GASB 75 Sch Input CY'!B37</f>
        <v>0</v>
      </c>
      <c r="C67" s="450">
        <f>'GASB 75 Sch Input CY'!F37</f>
        <v>0</v>
      </c>
    </row>
    <row r="68" spans="1:3" x14ac:dyDescent="0.2">
      <c r="B68" s="447"/>
      <c r="C68" s="446"/>
    </row>
    <row r="69" spans="1:3" x14ac:dyDescent="0.2">
      <c r="B69" s="446"/>
      <c r="C69" s="446"/>
    </row>
    <row r="70" spans="1:3" x14ac:dyDescent="0.2">
      <c r="A70" s="23" t="s">
        <v>473</v>
      </c>
      <c r="B70" s="447">
        <f>'GASB 75 Sch Input CY'!B39</f>
        <v>39551500</v>
      </c>
      <c r="C70" s="450">
        <f>'GASB 75 Sch Input CY'!F39</f>
        <v>1</v>
      </c>
    </row>
    <row r="71" spans="1:3" x14ac:dyDescent="0.2">
      <c r="B71" s="446"/>
      <c r="C71" s="446"/>
    </row>
    <row r="72" spans="1:3" ht="30.75" thickBot="1" x14ac:dyDescent="0.25">
      <c r="A72" s="371" t="str">
        <f>'GASB 75 Sch Input CY'!A38</f>
        <v>Higher Ed., WVDE, &amp; Other non-LEA Employers</v>
      </c>
      <c r="B72" s="449">
        <f>B70-B67-B66-B65-B62</f>
        <v>7176525</v>
      </c>
      <c r="C72" s="452">
        <f>C70-C67-C66-C65-C62</f>
        <v>0.18144758360999994</v>
      </c>
    </row>
    <row r="73" spans="1:3" ht="15.75" thickTop="1" x14ac:dyDescent="0.2"/>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H39"/>
  <sheetViews>
    <sheetView topLeftCell="A15" workbookViewId="0">
      <selection activeCell="B15" sqref="B15"/>
    </sheetView>
  </sheetViews>
  <sheetFormatPr defaultColWidth="8.88671875" defaultRowHeight="15" x14ac:dyDescent="0.2"/>
  <cols>
    <col min="1" max="1" width="45.77734375" customWidth="1"/>
    <col min="2" max="2" width="17.44140625" customWidth="1"/>
    <col min="3" max="3" width="1.33203125" customWidth="1"/>
    <col min="4" max="4" width="12" hidden="1" customWidth="1"/>
    <col min="5" max="5" width="1.33203125" hidden="1" customWidth="1"/>
    <col min="6" max="6" width="12" customWidth="1"/>
    <col min="7" max="7" width="1.33203125" customWidth="1"/>
    <col min="8" max="8" width="12" customWidth="1"/>
    <col min="9" max="9" width="1.77734375" customWidth="1"/>
    <col min="10" max="10" width="12" hidden="1" customWidth="1"/>
    <col min="11" max="11" width="1.33203125" hidden="1" customWidth="1"/>
    <col min="12" max="12" width="12" customWidth="1"/>
    <col min="13" max="13" width="2" customWidth="1"/>
    <col min="14" max="14" width="11" customWidth="1"/>
    <col min="15" max="15" width="1.33203125" customWidth="1"/>
    <col min="16" max="16" width="12" customWidth="1"/>
    <col min="17" max="17" width="1.33203125" customWidth="1"/>
    <col min="18" max="18" width="12" customWidth="1"/>
    <col min="19" max="19" width="1" customWidth="1"/>
    <col min="20" max="20" width="11" customWidth="1"/>
    <col min="21" max="21" width="1.33203125" customWidth="1"/>
    <col min="22" max="22" width="11" hidden="1" customWidth="1"/>
    <col min="23" max="23" width="1.33203125" hidden="1" customWidth="1"/>
    <col min="24" max="24" width="12" customWidth="1"/>
    <col min="25" max="25" width="2" customWidth="1"/>
    <col min="26" max="26" width="12" customWidth="1"/>
    <col min="27" max="27" width="1.33203125" customWidth="1"/>
    <col min="28" max="28" width="12" customWidth="1"/>
    <col min="29" max="29" width="1.21875" customWidth="1"/>
    <col min="30" max="30" width="12" customWidth="1"/>
    <col min="31" max="31" width="1.33203125" customWidth="1"/>
    <col min="32" max="32" width="12" customWidth="1"/>
    <col min="33" max="33" width="2" customWidth="1"/>
    <col min="34" max="35" width="11.44140625" bestFit="1" customWidth="1"/>
  </cols>
  <sheetData>
    <row r="1" spans="1:34" ht="15.75" x14ac:dyDescent="0.25">
      <c r="A1" s="25" t="str">
        <f>'GASB 75 Sch Input CY'!A1</f>
        <v>WARNING: Sheet is protected to prevent unintentional override of formulas.</v>
      </c>
      <c r="P1" s="526"/>
    </row>
    <row r="2" spans="1:34" ht="15.75" x14ac:dyDescent="0.25">
      <c r="A2" s="25" t="str">
        <f>'GASB 75 Sch Input CY'!A2</f>
        <v>Password for protected sheet: BOE2025</v>
      </c>
    </row>
    <row r="3" spans="1:34" x14ac:dyDescent="0.2">
      <c r="A3" s="504" t="s">
        <v>259</v>
      </c>
    </row>
    <row r="4" spans="1:34" x14ac:dyDescent="0.2">
      <c r="A4" s="504" t="s">
        <v>92</v>
      </c>
    </row>
    <row r="5" spans="1:34" x14ac:dyDescent="0.2">
      <c r="A5" s="504"/>
    </row>
    <row r="6" spans="1:34" ht="33.75" customHeight="1" x14ac:dyDescent="0.25">
      <c r="A6" s="616" t="str">
        <f>'GASB 75 Sch Input CY'!A6</f>
        <v>Note: Net OPEB Liability, Deferred Outflows, and Deferred Inflows of resources should always be entered as POSITIVE numbers. Net OPEB Asset, Pension Expense numbers, even if negative, should reflect what is on the audited allocation schedules.</v>
      </c>
      <c r="B6" s="616"/>
      <c r="C6" s="616"/>
      <c r="D6" s="616"/>
      <c r="E6" s="616"/>
      <c r="F6" s="616"/>
      <c r="G6" s="616"/>
      <c r="H6" s="616"/>
      <c r="I6" s="616"/>
      <c r="J6" s="616"/>
      <c r="K6" s="616"/>
      <c r="L6" s="616"/>
      <c r="M6" s="616"/>
      <c r="N6" s="616"/>
      <c r="O6" s="616"/>
      <c r="P6" s="616"/>
      <c r="Q6" s="616"/>
      <c r="R6" s="616"/>
      <c r="S6" s="616"/>
      <c r="T6" s="616"/>
    </row>
    <row r="7" spans="1:34" ht="15.75" thickBot="1" x14ac:dyDescent="0.25">
      <c r="A7" s="368"/>
      <c r="B7" s="368"/>
      <c r="C7" s="368"/>
      <c r="D7" s="368"/>
      <c r="E7" s="368"/>
      <c r="F7" s="368"/>
      <c r="G7" s="368"/>
      <c r="H7" s="368"/>
      <c r="I7" s="368"/>
      <c r="J7" s="368"/>
      <c r="K7" s="368"/>
      <c r="L7" s="368"/>
    </row>
    <row r="8" spans="1:34" ht="18.75" x14ac:dyDescent="0.3">
      <c r="A8" s="602" t="str">
        <f>'GASB 75 Sch Input CY'!A8:AG8</f>
        <v>West Virginia Retiree Health Benefit Trust Fund</v>
      </c>
      <c r="B8" s="603"/>
      <c r="C8" s="603"/>
      <c r="D8" s="603"/>
      <c r="E8" s="603"/>
      <c r="F8" s="603"/>
      <c r="G8" s="603"/>
      <c r="H8" s="603"/>
      <c r="I8" s="603"/>
      <c r="J8" s="603"/>
      <c r="K8" s="603"/>
      <c r="L8" s="603"/>
      <c r="M8" s="603"/>
      <c r="N8" s="603"/>
      <c r="O8" s="603"/>
      <c r="P8" s="603"/>
      <c r="Q8" s="603"/>
      <c r="R8" s="603"/>
      <c r="S8" s="603"/>
      <c r="T8" s="603"/>
      <c r="U8" s="603"/>
      <c r="V8" s="603"/>
      <c r="W8" s="603"/>
      <c r="X8" s="603"/>
      <c r="Y8" s="603"/>
      <c r="Z8" s="603"/>
      <c r="AA8" s="603"/>
      <c r="AB8" s="603"/>
      <c r="AC8" s="603"/>
      <c r="AD8" s="603"/>
      <c r="AE8" s="603"/>
      <c r="AF8" s="603"/>
      <c r="AG8" s="603"/>
      <c r="AH8" s="190"/>
    </row>
    <row r="9" spans="1:34" ht="18.75" x14ac:dyDescent="0.3">
      <c r="A9" s="605" t="str">
        <f>'GASB 75 Sch Input CY'!A9:AG9</f>
        <v>Schedule of Other Post-Employment Amounts by Employer</v>
      </c>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190"/>
    </row>
    <row r="10" spans="1:34" ht="18.75" x14ac:dyDescent="0.3">
      <c r="A10" s="605" t="s">
        <v>574</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190"/>
    </row>
    <row r="11" spans="1:34" ht="15.75" thickBot="1" x14ac:dyDescent="0.25">
      <c r="A11" s="79"/>
      <c r="D11" s="80"/>
      <c r="E11" s="80"/>
      <c r="F11" s="80"/>
      <c r="G11" s="80"/>
      <c r="H11" s="80"/>
      <c r="I11" s="80"/>
      <c r="J11" s="80"/>
      <c r="AH11" s="190"/>
    </row>
    <row r="12" spans="1:34" ht="38.25" customHeight="1" thickBot="1" x14ac:dyDescent="0.3">
      <c r="A12" s="79"/>
      <c r="B12" s="81"/>
      <c r="C12" s="81"/>
      <c r="D12" s="608" t="s">
        <v>10</v>
      </c>
      <c r="E12" s="609"/>
      <c r="F12" s="609"/>
      <c r="G12" s="609"/>
      <c r="H12" s="609"/>
      <c r="I12" s="609"/>
      <c r="J12" s="609"/>
      <c r="K12" s="609"/>
      <c r="L12" s="610"/>
      <c r="M12" s="82"/>
      <c r="N12" s="608" t="s">
        <v>11</v>
      </c>
      <c r="O12" s="609"/>
      <c r="P12" s="609"/>
      <c r="Q12" s="609"/>
      <c r="R12" s="609"/>
      <c r="S12" s="609"/>
      <c r="T12" s="609"/>
      <c r="U12" s="609"/>
      <c r="V12" s="609"/>
      <c r="W12" s="609"/>
      <c r="X12" s="610"/>
      <c r="Z12" s="617" t="s">
        <v>294</v>
      </c>
      <c r="AA12" s="618"/>
      <c r="AB12" s="618"/>
      <c r="AC12" s="618"/>
      <c r="AD12" s="618"/>
      <c r="AE12" s="618"/>
      <c r="AF12" s="619"/>
      <c r="AH12" s="190"/>
    </row>
    <row r="13" spans="1:34" ht="105.6" customHeight="1" thickBot="1" x14ac:dyDescent="0.35">
      <c r="A13" s="83" t="s">
        <v>358</v>
      </c>
      <c r="B13" s="505" t="str">
        <f>'GASB 75 Sch Input CY'!B13</f>
        <v>Net OPEB Liability (Asset)</v>
      </c>
      <c r="C13" s="506"/>
      <c r="D13" s="505" t="s">
        <v>477</v>
      </c>
      <c r="E13" s="507"/>
      <c r="F13" s="505" t="s">
        <v>474</v>
      </c>
      <c r="G13" s="507"/>
      <c r="H13" s="505" t="s">
        <v>247</v>
      </c>
      <c r="I13" s="507"/>
      <c r="J13" s="505" t="str">
        <f>'GASB 75 Sch Input CY'!J13</f>
        <v>Differences Between Expected and Actual Non-Investment Experience</v>
      </c>
      <c r="K13" s="506"/>
      <c r="L13" s="508" t="str">
        <f>'GASB 75 Sch Input CY'!L13</f>
        <v>Total Deferred Outflows of Resources</v>
      </c>
      <c r="M13" s="506"/>
      <c r="N13" s="505" t="s">
        <v>476</v>
      </c>
      <c r="O13" s="506"/>
      <c r="P13" s="505" t="str">
        <f>'GASB 75 Sch Input CY'!P13</f>
        <v>Changes in Assumptions</v>
      </c>
      <c r="Q13" s="507"/>
      <c r="R13" s="505" t="s">
        <v>485</v>
      </c>
      <c r="S13" s="507"/>
      <c r="T13" s="505" t="s">
        <v>407</v>
      </c>
      <c r="U13" s="507"/>
      <c r="V13" s="505" t="s">
        <v>475</v>
      </c>
      <c r="W13" s="507"/>
      <c r="X13" s="508" t="str">
        <f>'GASB 75 Sch Input CY'!X13</f>
        <v>Total Deferred Inflows of Resources</v>
      </c>
      <c r="Y13" s="506"/>
      <c r="Z13" s="505" t="str">
        <f>'GASB 75 Sch Input CY'!Z13</f>
        <v>Proportionate Share of OPEB Expense</v>
      </c>
      <c r="AA13" s="506"/>
      <c r="AB13" s="505" t="str">
        <f>'GASB 75 Sch Input CY'!AB13</f>
        <v>Net Amortization of Deferred Amounts from Changes in Proportion and Differences Between Employer Contributions and Proportionate Share of Contributions</v>
      </c>
      <c r="AC13" s="507"/>
      <c r="AD13" s="568" t="s">
        <v>657</v>
      </c>
      <c r="AE13" s="510"/>
      <c r="AF13" s="505" t="str">
        <f>'GASB 75 Sch Input CY'!AF13</f>
        <v>Total OPEB Expense</v>
      </c>
      <c r="AG13" s="88"/>
      <c r="AH13" s="190"/>
    </row>
    <row r="14" spans="1:34" ht="18.75" x14ac:dyDescent="0.3">
      <c r="A14" s="83"/>
      <c r="B14" s="85"/>
      <c r="C14" s="86"/>
      <c r="D14" s="85"/>
      <c r="E14" s="85"/>
      <c r="F14" s="85"/>
      <c r="G14" s="85"/>
      <c r="H14" s="85"/>
      <c r="I14" s="85"/>
      <c r="J14" s="85"/>
      <c r="K14" s="87"/>
      <c r="L14" s="85"/>
      <c r="M14" s="87"/>
      <c r="N14" s="85"/>
      <c r="O14" s="87"/>
      <c r="P14" s="85"/>
      <c r="Q14" s="85"/>
      <c r="R14" s="85"/>
      <c r="S14" s="85"/>
      <c r="T14" s="85"/>
      <c r="U14" s="85"/>
      <c r="V14" s="85"/>
      <c r="W14" s="85"/>
      <c r="X14" s="85"/>
      <c r="Y14" s="87"/>
      <c r="Z14" s="85"/>
      <c r="AA14" s="87"/>
      <c r="AB14" s="85"/>
      <c r="AC14" s="85"/>
      <c r="AD14" s="569"/>
      <c r="AE14" s="88"/>
      <c r="AF14" s="85"/>
      <c r="AG14" s="88"/>
      <c r="AH14" s="190"/>
    </row>
    <row r="15" spans="1:34" ht="18.75" x14ac:dyDescent="0.3">
      <c r="A15" s="517" t="str">
        <f>'GASB 75 Sch Input CY'!A15</f>
        <v>(insert name of LEA)</v>
      </c>
      <c r="B15" s="48">
        <v>0</v>
      </c>
      <c r="C15" s="512"/>
      <c r="D15" s="511">
        <v>0</v>
      </c>
      <c r="E15" s="512"/>
      <c r="F15" s="48">
        <v>0</v>
      </c>
      <c r="G15" s="512"/>
      <c r="H15" s="288">
        <v>0</v>
      </c>
      <c r="I15" s="455"/>
      <c r="J15" s="48">
        <v>0</v>
      </c>
      <c r="K15" s="512"/>
      <c r="L15" s="513">
        <f>SUM(D15:K15)</f>
        <v>0</v>
      </c>
      <c r="M15" s="514"/>
      <c r="N15" s="288">
        <v>0</v>
      </c>
      <c r="O15" s="512"/>
      <c r="P15" s="288">
        <v>0</v>
      </c>
      <c r="Q15" s="512"/>
      <c r="R15" s="288">
        <v>0</v>
      </c>
      <c r="S15" s="455"/>
      <c r="T15" s="48">
        <v>0</v>
      </c>
      <c r="U15" s="455"/>
      <c r="V15" s="48">
        <v>0</v>
      </c>
      <c r="W15" s="512"/>
      <c r="X15" s="513">
        <f>SUM(N15:V15)</f>
        <v>0</v>
      </c>
      <c r="Y15" s="514"/>
      <c r="Z15" s="288">
        <v>0</v>
      </c>
      <c r="AA15" s="512"/>
      <c r="AB15" s="288">
        <v>0</v>
      </c>
      <c r="AC15" s="527"/>
      <c r="AD15" s="288">
        <v>0</v>
      </c>
      <c r="AE15" s="512"/>
      <c r="AF15" s="513">
        <f>SUM(Z15:AD15)</f>
        <v>0</v>
      </c>
      <c r="AG15" s="88"/>
      <c r="AH15" s="190"/>
    </row>
    <row r="16" spans="1:34" ht="18.75" x14ac:dyDescent="0.3">
      <c r="A16" s="515"/>
      <c r="B16" s="513"/>
      <c r="C16" s="516"/>
      <c r="D16" s="513"/>
      <c r="E16" s="516"/>
      <c r="F16" s="513"/>
      <c r="G16" s="516"/>
      <c r="H16" s="513"/>
      <c r="I16" s="513"/>
      <c r="J16" s="513"/>
      <c r="K16" s="516"/>
      <c r="L16" s="513"/>
      <c r="M16" s="514"/>
      <c r="N16" s="513"/>
      <c r="O16" s="516"/>
      <c r="P16" s="513"/>
      <c r="Q16" s="516"/>
      <c r="R16" s="513"/>
      <c r="S16" s="513"/>
      <c r="T16" s="513"/>
      <c r="U16" s="513"/>
      <c r="V16" s="513"/>
      <c r="W16" s="516"/>
      <c r="X16" s="513"/>
      <c r="Y16" s="514"/>
      <c r="Z16" s="513"/>
      <c r="AA16" s="516"/>
      <c r="AB16" s="513"/>
      <c r="AC16" s="513"/>
      <c r="AD16" s="570"/>
      <c r="AE16" s="516"/>
      <c r="AF16" s="513"/>
      <c r="AG16" s="88"/>
      <c r="AH16" s="190"/>
    </row>
    <row r="17" spans="1:34" ht="18.75" x14ac:dyDescent="0.3">
      <c r="A17" s="517" t="s">
        <v>313</v>
      </c>
      <c r="B17" s="455">
        <v>-47339668</v>
      </c>
      <c r="C17" s="512"/>
      <c r="D17" s="455"/>
      <c r="E17" s="512"/>
      <c r="F17" s="455">
        <v>58000018</v>
      </c>
      <c r="G17" s="512"/>
      <c r="H17" s="455">
        <v>13053513</v>
      </c>
      <c r="I17" s="455"/>
      <c r="J17" s="455">
        <v>0</v>
      </c>
      <c r="K17" s="512"/>
      <c r="L17" s="513">
        <f>SUM(D17:K17)</f>
        <v>71053531</v>
      </c>
      <c r="M17" s="514"/>
      <c r="N17" s="455">
        <v>27556726</v>
      </c>
      <c r="O17" s="512"/>
      <c r="P17" s="455">
        <v>26411769</v>
      </c>
      <c r="Q17" s="512"/>
      <c r="R17" s="455">
        <v>789428</v>
      </c>
      <c r="S17" s="455"/>
      <c r="T17" s="455">
        <v>0</v>
      </c>
      <c r="U17" s="455"/>
      <c r="V17" s="455">
        <v>0</v>
      </c>
      <c r="W17" s="512"/>
      <c r="X17" s="513">
        <f>SUM(N17:V17)</f>
        <v>54757923</v>
      </c>
      <c r="Y17" s="514"/>
      <c r="Z17" s="455">
        <v>-109479811</v>
      </c>
      <c r="AA17" s="512"/>
      <c r="AB17" s="455">
        <v>40073424</v>
      </c>
      <c r="AC17" s="455"/>
      <c r="AD17" s="571"/>
      <c r="AE17" s="512"/>
      <c r="AF17" s="513">
        <f>SUM(Z17:AD17)</f>
        <v>-69406387</v>
      </c>
      <c r="AG17" s="88"/>
      <c r="AH17" s="190"/>
    </row>
    <row r="18" spans="1:34" ht="18.75" x14ac:dyDescent="0.3">
      <c r="A18" s="517" t="s">
        <v>314</v>
      </c>
      <c r="B18" s="455">
        <v>0</v>
      </c>
      <c r="C18" s="512"/>
      <c r="D18" s="455"/>
      <c r="E18" s="512"/>
      <c r="F18" s="455">
        <v>16110</v>
      </c>
      <c r="G18" s="512"/>
      <c r="H18" s="455">
        <v>0</v>
      </c>
      <c r="I18" s="455"/>
      <c r="J18" s="455">
        <v>0</v>
      </c>
      <c r="K18" s="512"/>
      <c r="L18" s="513">
        <f>SUM(D18:K18)</f>
        <v>16110</v>
      </c>
      <c r="M18" s="514"/>
      <c r="N18" s="455">
        <v>0</v>
      </c>
      <c r="O18" s="512"/>
      <c r="P18" s="455">
        <v>0</v>
      </c>
      <c r="Q18" s="512"/>
      <c r="R18" s="455">
        <v>0</v>
      </c>
      <c r="S18" s="455"/>
      <c r="T18" s="455">
        <v>9166473</v>
      </c>
      <c r="U18" s="455"/>
      <c r="V18" s="455">
        <v>0</v>
      </c>
      <c r="W18" s="512"/>
      <c r="X18" s="513">
        <f t="shared" ref="X18:X19" si="0">SUM(N18:V18)</f>
        <v>9166473</v>
      </c>
      <c r="Y18" s="514"/>
      <c r="Z18" s="455">
        <v>0</v>
      </c>
      <c r="AA18" s="512"/>
      <c r="AB18" s="455">
        <v>-10660582</v>
      </c>
      <c r="AC18" s="455"/>
      <c r="AD18" s="571"/>
      <c r="AE18" s="512"/>
      <c r="AF18" s="513">
        <f t="shared" ref="AF18:AF19" si="1">SUM(Z18:AD18)</f>
        <v>-10660582</v>
      </c>
      <c r="AG18" s="88"/>
      <c r="AH18" s="190"/>
    </row>
    <row r="19" spans="1:34" ht="18.75" x14ac:dyDescent="0.3">
      <c r="A19" s="517" t="s">
        <v>315</v>
      </c>
      <c r="B19" s="455">
        <v>-31258170</v>
      </c>
      <c r="C19" s="512"/>
      <c r="D19" s="455"/>
      <c r="E19" s="512"/>
      <c r="F19" s="455">
        <v>0</v>
      </c>
      <c r="G19" s="512"/>
      <c r="H19" s="455">
        <v>8619177</v>
      </c>
      <c r="I19" s="552"/>
      <c r="J19" s="552">
        <v>0</v>
      </c>
      <c r="K19" s="512"/>
      <c r="L19" s="513">
        <f>SUM(D19:K19)</f>
        <v>8619177</v>
      </c>
      <c r="M19" s="553"/>
      <c r="N19" s="455">
        <v>18195582</v>
      </c>
      <c r="O19" s="512"/>
      <c r="P19" s="455">
        <v>17439573</v>
      </c>
      <c r="Q19" s="512"/>
      <c r="R19" s="455">
        <v>521256</v>
      </c>
      <c r="S19" s="455"/>
      <c r="T19" s="455">
        <v>26911028</v>
      </c>
      <c r="U19" s="455"/>
      <c r="V19" s="455">
        <v>0</v>
      </c>
      <c r="W19" s="512"/>
      <c r="X19" s="513">
        <f t="shared" si="0"/>
        <v>63067439</v>
      </c>
      <c r="Y19" s="553"/>
      <c r="Z19" s="455">
        <v>-72289027</v>
      </c>
      <c r="AA19" s="512"/>
      <c r="AB19" s="455">
        <v>-14342418</v>
      </c>
      <c r="AC19" s="455"/>
      <c r="AD19" s="571"/>
      <c r="AE19" s="512"/>
      <c r="AF19" s="513">
        <f t="shared" si="1"/>
        <v>-86631445</v>
      </c>
      <c r="AG19" s="88"/>
      <c r="AH19" s="190"/>
    </row>
    <row r="20" spans="1:34" ht="18.75" x14ac:dyDescent="0.3">
      <c r="A20" s="517"/>
      <c r="B20" s="552"/>
      <c r="C20" s="512"/>
      <c r="D20" s="552"/>
      <c r="E20" s="512"/>
      <c r="F20" s="552"/>
      <c r="G20" s="512"/>
      <c r="H20" s="552"/>
      <c r="I20" s="552"/>
      <c r="J20" s="552"/>
      <c r="K20" s="512"/>
      <c r="L20" s="513"/>
      <c r="M20" s="553"/>
      <c r="N20" s="552"/>
      <c r="O20" s="512"/>
      <c r="P20" s="552"/>
      <c r="Q20" s="512"/>
      <c r="R20" s="552"/>
      <c r="S20" s="552"/>
      <c r="T20" s="552"/>
      <c r="U20" s="552"/>
      <c r="V20" s="552"/>
      <c r="W20" s="512"/>
      <c r="X20" s="513"/>
      <c r="Y20" s="553"/>
      <c r="Z20" s="552"/>
      <c r="AA20" s="512"/>
      <c r="AB20" s="552"/>
      <c r="AC20" s="552"/>
      <c r="AD20" s="572"/>
      <c r="AE20" s="512"/>
      <c r="AF20" s="513"/>
      <c r="AG20" s="88"/>
      <c r="AH20" s="190"/>
    </row>
    <row r="21" spans="1:34" ht="19.5" thickBot="1" x14ac:dyDescent="0.35">
      <c r="A21" s="554" t="s">
        <v>316</v>
      </c>
      <c r="B21" s="456">
        <v>-158249117</v>
      </c>
      <c r="C21" s="555"/>
      <c r="D21" s="456"/>
      <c r="E21" s="555"/>
      <c r="F21" s="456">
        <v>85493994</v>
      </c>
      <c r="G21" s="555"/>
      <c r="H21" s="456">
        <v>43635860</v>
      </c>
      <c r="I21" s="456"/>
      <c r="J21" s="456">
        <v>0</v>
      </c>
      <c r="K21" s="555"/>
      <c r="L21" s="456">
        <f>SUM(D21:K21)</f>
        <v>129129854</v>
      </c>
      <c r="M21" s="556"/>
      <c r="N21" s="456">
        <v>92117832</v>
      </c>
      <c r="O21" s="555"/>
      <c r="P21" s="456">
        <v>88290420</v>
      </c>
      <c r="Q21" s="555"/>
      <c r="R21" s="456">
        <v>2638934</v>
      </c>
      <c r="S21" s="456"/>
      <c r="T21" s="456">
        <v>85493994</v>
      </c>
      <c r="U21" s="456"/>
      <c r="V21" s="456">
        <v>0</v>
      </c>
      <c r="W21" s="555"/>
      <c r="X21" s="456">
        <f>SUM(N21:V21)</f>
        <v>268541180</v>
      </c>
      <c r="Y21" s="556"/>
      <c r="Z21" s="557">
        <v>-365973910</v>
      </c>
      <c r="AA21" s="555"/>
      <c r="AB21" s="456">
        <v>0</v>
      </c>
      <c r="AC21" s="456"/>
      <c r="AD21" s="573"/>
      <c r="AE21" s="555"/>
      <c r="AF21" s="456">
        <f>SUM(Z21:AD21)</f>
        <v>-365973910</v>
      </c>
      <c r="AG21" s="88"/>
      <c r="AH21" s="190"/>
    </row>
    <row r="22" spans="1:34" ht="15.75" thickTop="1" x14ac:dyDescent="0.2">
      <c r="A22" s="89"/>
      <c r="B22" s="90"/>
      <c r="C22" s="90"/>
      <c r="D22" s="91"/>
      <c r="E22" s="91"/>
      <c r="F22" s="90"/>
      <c r="G22" s="91"/>
      <c r="H22" s="91"/>
      <c r="I22" s="91"/>
      <c r="J22" s="91"/>
      <c r="K22" s="90"/>
      <c r="L22" s="90"/>
      <c r="M22" s="90"/>
      <c r="N22" s="90"/>
      <c r="O22" s="90"/>
      <c r="P22" s="90"/>
      <c r="Q22" s="90"/>
      <c r="R22" s="90"/>
      <c r="S22" s="90"/>
      <c r="T22" s="90"/>
      <c r="U22" s="90"/>
      <c r="V22" s="90"/>
      <c r="W22" s="90"/>
      <c r="X22" s="90"/>
      <c r="Y22" s="90"/>
      <c r="Z22" s="90"/>
      <c r="AA22" s="90"/>
      <c r="AB22" s="90"/>
      <c r="AC22" s="90"/>
      <c r="AD22" s="574"/>
      <c r="AE22" s="90"/>
      <c r="AF22" s="90"/>
      <c r="AG22" s="90"/>
      <c r="AH22" s="190"/>
    </row>
    <row r="23" spans="1:34" ht="16.5" thickBot="1" x14ac:dyDescent="0.3">
      <c r="A23" s="518"/>
      <c r="B23" s="519"/>
      <c r="C23" s="519"/>
      <c r="D23" s="520"/>
      <c r="E23" s="520"/>
      <c r="F23" s="519"/>
      <c r="G23" s="520"/>
      <c r="H23" s="520"/>
      <c r="I23" s="520"/>
      <c r="J23" s="520"/>
      <c r="K23" s="519"/>
      <c r="L23" s="519"/>
      <c r="M23" s="519"/>
      <c r="N23" s="519"/>
      <c r="O23" s="519"/>
      <c r="P23" s="519"/>
      <c r="Q23" s="519"/>
      <c r="R23" s="519"/>
      <c r="S23" s="519"/>
      <c r="T23" s="519"/>
      <c r="U23" s="519"/>
      <c r="V23" s="519"/>
      <c r="W23" s="519"/>
      <c r="X23" s="519"/>
      <c r="Y23" s="519"/>
      <c r="Z23" s="519"/>
      <c r="AA23" s="519"/>
      <c r="AB23" s="519"/>
      <c r="AC23" s="519"/>
      <c r="AD23" s="575"/>
      <c r="AE23" s="519"/>
      <c r="AF23" s="519"/>
      <c r="AG23" s="519"/>
      <c r="AH23" s="190"/>
    </row>
    <row r="24" spans="1:34" x14ac:dyDescent="0.2">
      <c r="D24" s="26"/>
      <c r="F24" s="72"/>
      <c r="J24" s="26"/>
      <c r="L24" s="26"/>
      <c r="M24" s="23"/>
    </row>
    <row r="25" spans="1:34" x14ac:dyDescent="0.2">
      <c r="F25" s="26"/>
      <c r="H25" s="26"/>
      <c r="I25" s="23"/>
      <c r="L25" s="26"/>
      <c r="M25" s="23"/>
    </row>
    <row r="26" spans="1:34" ht="15.75" thickBot="1" x14ac:dyDescent="0.25">
      <c r="H26" s="26"/>
      <c r="I26" s="23"/>
      <c r="L26" s="26"/>
      <c r="M26" s="23"/>
    </row>
    <row r="27" spans="1:34" ht="18.75" x14ac:dyDescent="0.3">
      <c r="A27" s="602" t="s">
        <v>355</v>
      </c>
      <c r="B27" s="603"/>
      <c r="C27" s="603"/>
      <c r="D27" s="603"/>
      <c r="E27" s="603"/>
      <c r="F27" s="603"/>
      <c r="G27" s="604"/>
      <c r="H27" s="27"/>
      <c r="L27" s="26"/>
      <c r="M27" s="23"/>
    </row>
    <row r="28" spans="1:34" ht="18.75" x14ac:dyDescent="0.3">
      <c r="A28" s="605" t="s">
        <v>360</v>
      </c>
      <c r="B28" s="606"/>
      <c r="C28" s="606"/>
      <c r="D28" s="606"/>
      <c r="E28" s="606"/>
      <c r="F28" s="606"/>
      <c r="G28" s="607"/>
      <c r="H28" s="27"/>
    </row>
    <row r="29" spans="1:34" ht="18.75" x14ac:dyDescent="0.3">
      <c r="A29" s="605" t="str">
        <f>A10</f>
        <v>As of and for the Year Ended June 30, 2023</v>
      </c>
      <c r="B29" s="606"/>
      <c r="C29" s="606"/>
      <c r="D29" s="606"/>
      <c r="E29" s="606"/>
      <c r="F29" s="606"/>
      <c r="G29" s="607"/>
    </row>
    <row r="30" spans="1:34" x14ac:dyDescent="0.2">
      <c r="A30" s="79"/>
      <c r="G30" s="77"/>
    </row>
    <row r="31" spans="1:34" ht="39.75" x14ac:dyDescent="0.3">
      <c r="A31" s="83" t="s">
        <v>88</v>
      </c>
      <c r="B31" s="85" t="s">
        <v>330</v>
      </c>
      <c r="C31" s="86"/>
      <c r="F31" s="85" t="s">
        <v>91</v>
      </c>
      <c r="G31" s="77"/>
    </row>
    <row r="32" spans="1:34" x14ac:dyDescent="0.2">
      <c r="A32" s="79"/>
      <c r="G32" s="77"/>
    </row>
    <row r="33" spans="1:7" ht="15.75" x14ac:dyDescent="0.25">
      <c r="A33" s="517" t="str">
        <f>A15</f>
        <v>(insert name of LEA)</v>
      </c>
      <c r="B33" s="48">
        <v>0</v>
      </c>
      <c r="C33" s="524"/>
      <c r="F33" s="372">
        <v>0</v>
      </c>
      <c r="G33" s="528"/>
    </row>
    <row r="34" spans="1:7" ht="18.75" x14ac:dyDescent="0.3">
      <c r="A34" s="515"/>
      <c r="B34" s="513"/>
      <c r="F34" s="373"/>
      <c r="G34" s="77"/>
    </row>
    <row r="35" spans="1:7" ht="15.75" x14ac:dyDescent="0.25">
      <c r="A35" s="517" t="s">
        <v>313</v>
      </c>
      <c r="B35" s="455">
        <v>30000000</v>
      </c>
      <c r="C35" s="524"/>
      <c r="F35" s="576">
        <v>0.29914649225000001</v>
      </c>
      <c r="G35" s="528"/>
    </row>
    <row r="36" spans="1:7" ht="15.75" x14ac:dyDescent="0.25">
      <c r="A36" s="517" t="s">
        <v>314</v>
      </c>
      <c r="B36" s="455">
        <v>0</v>
      </c>
      <c r="C36" s="524"/>
      <c r="F36" s="576">
        <v>0</v>
      </c>
      <c r="G36" s="528"/>
    </row>
    <row r="37" spans="1:7" ht="15.75" x14ac:dyDescent="0.25">
      <c r="A37" s="517" t="s">
        <v>315</v>
      </c>
      <c r="B37" s="455">
        <v>19808865</v>
      </c>
      <c r="C37" s="524"/>
      <c r="F37" s="576">
        <v>0.19752508266999999</v>
      </c>
      <c r="G37" s="528"/>
    </row>
    <row r="38" spans="1:7" ht="15.75" x14ac:dyDescent="0.25">
      <c r="A38" s="517" t="s">
        <v>192</v>
      </c>
      <c r="B38" s="577">
        <v>42755727</v>
      </c>
      <c r="C38" s="524"/>
      <c r="F38" s="578">
        <v>0.45095585415000006</v>
      </c>
      <c r="G38" s="528"/>
    </row>
    <row r="39" spans="1:7" ht="16.5" thickBot="1" x14ac:dyDescent="0.3">
      <c r="A39" s="518" t="s">
        <v>316</v>
      </c>
      <c r="B39" s="561">
        <v>100285314</v>
      </c>
      <c r="C39" s="562"/>
      <c r="D39" s="45"/>
      <c r="E39" s="45"/>
      <c r="F39" s="579">
        <v>1</v>
      </c>
      <c r="G39" s="580"/>
    </row>
  </sheetData>
  <sheetProtection algorithmName="SHA-512" hashValue="4c19OJWaWrOsXz29AtZ48jqJaoPqPsdZmzYsKlD1zCcsN+otbMvYo5Z7emWoU/0ccpy6G3gBhF5cS2J+8x+M5w==" saltValue="B72mpvohldVrfalh2ZxojA==" spinCount="100000" sheet="1" objects="1" scenarios="1"/>
  <mergeCells count="10">
    <mergeCell ref="A27:G27"/>
    <mergeCell ref="A28:G28"/>
    <mergeCell ref="A29:G29"/>
    <mergeCell ref="A6:T6"/>
    <mergeCell ref="A8:AG8"/>
    <mergeCell ref="A9:AG9"/>
    <mergeCell ref="A10:AG10"/>
    <mergeCell ref="D12:L12"/>
    <mergeCell ref="N12:X12"/>
    <mergeCell ref="Z12:AF1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P26"/>
  <sheetViews>
    <sheetView workbookViewId="0">
      <selection activeCell="M13" sqref="M13:P13"/>
    </sheetView>
  </sheetViews>
  <sheetFormatPr defaultRowHeight="15" x14ac:dyDescent="0.2"/>
  <cols>
    <col min="2" max="2" width="10.44140625" customWidth="1"/>
    <col min="3" max="3" width="1.33203125" customWidth="1"/>
    <col min="4" max="4" width="20.88671875" customWidth="1"/>
    <col min="5" max="5" width="4.21875" customWidth="1"/>
    <col min="6" max="6" width="18.77734375" customWidth="1"/>
    <col min="7" max="7" width="2.77734375" customWidth="1"/>
    <col min="8" max="8" width="18.77734375" hidden="1" customWidth="1"/>
    <col min="9" max="9" width="2.77734375" hidden="1" customWidth="1"/>
    <col min="10" max="10" width="18.77734375" customWidth="1"/>
    <col min="12" max="12" width="6.44140625" customWidth="1"/>
    <col min="13" max="13" width="18.6640625" customWidth="1"/>
    <col min="14" max="14" width="11.44140625" customWidth="1"/>
    <col min="15" max="15" width="14.21875" customWidth="1"/>
    <col min="16" max="16" width="18" customWidth="1"/>
  </cols>
  <sheetData>
    <row r="1" spans="1:16" ht="18" x14ac:dyDescent="0.25">
      <c r="A1" s="21" t="s">
        <v>16</v>
      </c>
    </row>
    <row r="2" spans="1:16" ht="18" x14ac:dyDescent="0.25">
      <c r="A2" s="21" t="str">
        <f>'GASB 75 JEs'!H6</f>
        <v>Password for protected sheet: BOE2025</v>
      </c>
    </row>
    <row r="4" spans="1:16" ht="15.75" customHeight="1" x14ac:dyDescent="0.2">
      <c r="A4" s="621" t="s">
        <v>408</v>
      </c>
      <c r="B4" s="621"/>
      <c r="C4" s="621"/>
      <c r="D4" s="621"/>
      <c r="E4" s="621"/>
      <c r="F4" s="621"/>
      <c r="G4" s="621"/>
      <c r="H4" s="621"/>
      <c r="I4" s="621"/>
      <c r="J4" s="621"/>
      <c r="K4" s="621"/>
    </row>
    <row r="5" spans="1:16" ht="15.75" customHeight="1" x14ac:dyDescent="0.2">
      <c r="A5" s="621"/>
      <c r="B5" s="621"/>
      <c r="C5" s="621"/>
      <c r="D5" s="621"/>
      <c r="E5" s="621"/>
      <c r="F5" s="621"/>
      <c r="G5" s="621"/>
      <c r="H5" s="621"/>
      <c r="I5" s="621"/>
      <c r="J5" s="621"/>
      <c r="K5" s="621"/>
    </row>
    <row r="6" spans="1:16" ht="15.75" customHeight="1" x14ac:dyDescent="0.2">
      <c r="A6" s="621"/>
      <c r="B6" s="621"/>
      <c r="C6" s="621"/>
      <c r="D6" s="621"/>
      <c r="E6" s="621"/>
      <c r="F6" s="621"/>
      <c r="G6" s="621"/>
      <c r="H6" s="621"/>
      <c r="I6" s="621"/>
      <c r="J6" s="621"/>
      <c r="K6" s="621"/>
    </row>
    <row r="7" spans="1:16" ht="15.75" customHeight="1" x14ac:dyDescent="0.2">
      <c r="A7" s="621"/>
      <c r="B7" s="621"/>
      <c r="C7" s="621"/>
      <c r="D7" s="621"/>
      <c r="E7" s="621"/>
      <c r="F7" s="621"/>
      <c r="G7" s="621"/>
      <c r="H7" s="621"/>
      <c r="I7" s="621"/>
      <c r="J7" s="621"/>
      <c r="K7" s="621"/>
    </row>
    <row r="8" spans="1:16" ht="15.75" customHeight="1" x14ac:dyDescent="0.2">
      <c r="A8" s="621"/>
      <c r="B8" s="621"/>
      <c r="C8" s="621"/>
      <c r="D8" s="621"/>
      <c r="E8" s="621"/>
      <c r="F8" s="621"/>
      <c r="G8" s="621"/>
      <c r="H8" s="621"/>
      <c r="I8" s="621"/>
      <c r="J8" s="621"/>
      <c r="K8" s="621"/>
    </row>
    <row r="9" spans="1:16" ht="15.75" customHeight="1" x14ac:dyDescent="0.2">
      <c r="A9" s="621"/>
      <c r="B9" s="621"/>
      <c r="C9" s="621"/>
      <c r="D9" s="621"/>
      <c r="E9" s="621"/>
      <c r="F9" s="621"/>
      <c r="G9" s="621"/>
      <c r="H9" s="621"/>
      <c r="I9" s="621"/>
      <c r="J9" s="621"/>
      <c r="K9" s="621"/>
    </row>
    <row r="10" spans="1:16" ht="31.5" customHeight="1" x14ac:dyDescent="0.25">
      <c r="A10" s="621"/>
      <c r="B10" s="621"/>
      <c r="C10" s="621"/>
      <c r="D10" s="621"/>
      <c r="E10" s="621"/>
      <c r="F10" s="621"/>
      <c r="G10" s="621"/>
      <c r="H10" s="621"/>
      <c r="I10" s="621"/>
      <c r="J10" s="621"/>
      <c r="K10" s="621"/>
      <c r="M10" s="622"/>
      <c r="N10" s="622"/>
      <c r="O10" s="622"/>
      <c r="P10" s="622"/>
    </row>
    <row r="11" spans="1:16" ht="15.75" x14ac:dyDescent="0.25">
      <c r="M11" s="622"/>
      <c r="N11" s="622"/>
      <c r="O11" s="622"/>
      <c r="P11" s="622"/>
    </row>
    <row r="12" spans="1:16" ht="15.75" x14ac:dyDescent="0.25">
      <c r="M12" s="622"/>
      <c r="N12" s="622"/>
      <c r="O12" s="622"/>
      <c r="P12" s="622"/>
    </row>
    <row r="13" spans="1:16" ht="16.5" thickBot="1" x14ac:dyDescent="0.3">
      <c r="F13" s="620" t="s">
        <v>203</v>
      </c>
      <c r="G13" s="620"/>
      <c r="H13" s="620"/>
      <c r="I13" s="620"/>
      <c r="J13" s="620"/>
      <c r="M13" s="622"/>
      <c r="N13" s="622"/>
      <c r="O13" s="622"/>
      <c r="P13" s="622"/>
    </row>
    <row r="14" spans="1:16" ht="45.75" thickBot="1" x14ac:dyDescent="0.25">
      <c r="B14" s="275" t="s">
        <v>76</v>
      </c>
      <c r="D14" s="275" t="s">
        <v>317</v>
      </c>
      <c r="F14" s="276" t="s">
        <v>173</v>
      </c>
      <c r="G14" s="276"/>
      <c r="H14" s="276" t="s">
        <v>174</v>
      </c>
      <c r="I14" s="276"/>
      <c r="J14" s="276" t="s">
        <v>175</v>
      </c>
      <c r="N14" s="406"/>
      <c r="O14" s="406"/>
    </row>
    <row r="16" spans="1:16" x14ac:dyDescent="0.2">
      <c r="B16" s="581">
        <f>'Change in Proportion - LEAs'!C7+1</f>
        <v>2026</v>
      </c>
      <c r="D16" s="582">
        <v>-21506967</v>
      </c>
      <c r="F16" s="277">
        <f>ROUND(D16*'Net LEA Amounts'!$L$13,0)</f>
        <v>0</v>
      </c>
      <c r="H16" s="277" t="e">
        <f>ROUND(D16*'Net LEA Amounts'!#REF!,0)</f>
        <v>#REF!</v>
      </c>
      <c r="J16" s="277">
        <f>ROUND(D16*'Net LEA Amounts'!$G$13,0)</f>
        <v>0</v>
      </c>
      <c r="N16" s="407"/>
    </row>
    <row r="17" spans="2:15" x14ac:dyDescent="0.2">
      <c r="B17" s="581">
        <f>B16+1</f>
        <v>2027</v>
      </c>
      <c r="D17" s="582">
        <v>51881367</v>
      </c>
      <c r="F17" s="277">
        <f>ROUND(D17*'Net LEA Amounts'!$L$13,0)</f>
        <v>0</v>
      </c>
      <c r="H17" s="277" t="e">
        <f>ROUND(D17*'Net LEA Amounts'!#REF!,0)</f>
        <v>#REF!</v>
      </c>
      <c r="J17" s="277">
        <f>ROUND(D17*'Net LEA Amounts'!$G$13,0)</f>
        <v>0</v>
      </c>
      <c r="M17" s="407"/>
      <c r="N17" s="407"/>
      <c r="O17" s="407"/>
    </row>
    <row r="18" spans="2:15" x14ac:dyDescent="0.2">
      <c r="B18" s="581">
        <f>B17+1</f>
        <v>2028</v>
      </c>
      <c r="D18" s="582">
        <v>6180017</v>
      </c>
      <c r="F18" s="277">
        <f>ROUND(D18*'Net LEA Amounts'!$L$13,0)</f>
        <v>0</v>
      </c>
      <c r="H18" s="277" t="e">
        <f>ROUND(D18*'Net LEA Amounts'!#REF!,0)</f>
        <v>#REF!</v>
      </c>
      <c r="J18" s="277">
        <f>ROUND(D18*'Net LEA Amounts'!$G$13,0)</f>
        <v>0</v>
      </c>
      <c r="M18" s="27"/>
    </row>
    <row r="19" spans="2:15" x14ac:dyDescent="0.2">
      <c r="B19" s="581">
        <f>B18+1</f>
        <v>2029</v>
      </c>
      <c r="D19" s="582">
        <v>-14170394</v>
      </c>
      <c r="F19" s="277">
        <f>ROUND(D19*'Net LEA Amounts'!$L$13,0)</f>
        <v>0</v>
      </c>
      <c r="H19" s="277" t="e">
        <f>ROUND(D19*'Net LEA Amounts'!#REF!,0)</f>
        <v>#REF!</v>
      </c>
      <c r="J19" s="277">
        <f>ROUND(D19*'Net LEA Amounts'!$G$13,0)</f>
        <v>0</v>
      </c>
    </row>
    <row r="20" spans="2:15" x14ac:dyDescent="0.2">
      <c r="B20" s="581">
        <f>B19+1</f>
        <v>2030</v>
      </c>
      <c r="D20" s="582">
        <v>0</v>
      </c>
      <c r="F20" s="277">
        <f>ROUND(D20*'Net LEA Amounts'!$L$13,0)</f>
        <v>0</v>
      </c>
      <c r="H20" s="277" t="e">
        <f>ROUND(D20*'Net LEA Amounts'!#REF!,0)</f>
        <v>#REF!</v>
      </c>
      <c r="J20" s="277">
        <f>ROUND(D20*'Net LEA Amounts'!$G$13,0)</f>
        <v>0</v>
      </c>
    </row>
    <row r="21" spans="2:15" x14ac:dyDescent="0.2">
      <c r="B21" s="581" t="s">
        <v>77</v>
      </c>
      <c r="D21" s="582"/>
      <c r="F21" s="277">
        <f>ROUND(D21*'Net LEA Amounts'!$L$13,0)</f>
        <v>0</v>
      </c>
      <c r="H21" s="277" t="e">
        <f>ROUND(D21*'Net LEA Amounts'!#REF!,0)</f>
        <v>#REF!</v>
      </c>
      <c r="J21" s="277">
        <f>ROUND(D21*'Net LEA Amounts'!$G$13,0)</f>
        <v>0</v>
      </c>
    </row>
    <row r="22" spans="2:15" ht="15.75" thickBot="1" x14ac:dyDescent="0.25">
      <c r="B22" s="583" t="s">
        <v>5</v>
      </c>
      <c r="D22" s="278">
        <f>SUM(D16:D21)</f>
        <v>22384023</v>
      </c>
      <c r="F22" s="278">
        <f>SUM(F16:F21)</f>
        <v>0</v>
      </c>
      <c r="H22" s="278" t="e">
        <f>SUM(H16:H21)</f>
        <v>#REF!</v>
      </c>
      <c r="J22" s="278">
        <f>SUM(J16:J21)</f>
        <v>0</v>
      </c>
    </row>
    <row r="23" spans="2:15" ht="15.75" thickTop="1" x14ac:dyDescent="0.2"/>
    <row r="24" spans="2:15" x14ac:dyDescent="0.2">
      <c r="D24" s="27"/>
    </row>
    <row r="25" spans="2:15" x14ac:dyDescent="0.2">
      <c r="D25" s="169"/>
    </row>
    <row r="26" spans="2:15" x14ac:dyDescent="0.2">
      <c r="D26" s="26"/>
    </row>
  </sheetData>
  <sheetProtection algorithmName="SHA-512" hashValue="nIOvi5dtcqjwPuGWpph1tp+7xaIfbWhDhoiaNTYb7WhMizVUTaTCsre8wOpYrIb9x76cJu0xbo1RgUC8lrirnw==" saltValue="TLVx6fSydzcuWbRfYGKGjw==" spinCount="100000" sheet="1" objects="1" scenarios="1"/>
  <mergeCells count="6">
    <mergeCell ref="F13:J13"/>
    <mergeCell ref="A4:K10"/>
    <mergeCell ref="M10:P10"/>
    <mergeCell ref="M11:P11"/>
    <mergeCell ref="M12:P12"/>
    <mergeCell ref="M13:P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T76"/>
  <sheetViews>
    <sheetView zoomScaleNormal="100" workbookViewId="0">
      <pane xSplit="2" ySplit="8" topLeftCell="C9" activePane="bottomRight" state="frozenSplit"/>
      <selection pane="topRight" activeCell="C1" sqref="C1"/>
      <selection pane="bottomLeft" activeCell="A8" sqref="A8"/>
      <selection pane="bottomRight" activeCell="A75" sqref="A75"/>
    </sheetView>
  </sheetViews>
  <sheetFormatPr defaultColWidth="8.88671875" defaultRowHeight="15" x14ac:dyDescent="0.2"/>
  <cols>
    <col min="1" max="1" width="18" style="34" customWidth="1"/>
    <col min="2" max="2" width="22.77734375" style="34" customWidth="1"/>
    <col min="3" max="3" width="1.88671875" style="34" customWidth="1"/>
    <col min="4" max="4" width="13" style="34" customWidth="1"/>
    <col min="5" max="5" width="1.88671875" style="34" customWidth="1"/>
    <col min="6" max="6" width="11.109375" style="34" customWidth="1"/>
    <col min="7" max="7" width="10.6640625" style="34" customWidth="1"/>
    <col min="8" max="8" width="1.5546875" style="34" customWidth="1"/>
    <col min="9" max="9" width="11.44140625" style="34" customWidth="1"/>
    <col min="10" max="10" width="2.109375" style="34" customWidth="1"/>
    <col min="11" max="11" width="12.88671875" style="34" customWidth="1"/>
    <col min="12" max="12" width="12.21875" style="34" customWidth="1"/>
    <col min="13" max="13" width="1.5546875" style="34" customWidth="1"/>
    <col min="14" max="14" width="12" style="34" customWidth="1"/>
    <col min="15" max="16" width="10.77734375" style="34" customWidth="1"/>
    <col min="17" max="17" width="1.109375" style="34" customWidth="1"/>
    <col min="18" max="18" width="3.77734375" style="34" customWidth="1"/>
    <col min="19" max="19" width="11" style="34" bestFit="1" customWidth="1"/>
    <col min="20" max="20" width="8.88671875" style="34"/>
    <col min="21" max="21" width="10" style="34" bestFit="1" customWidth="1"/>
    <col min="22" max="16384" width="8.88671875" style="34"/>
  </cols>
  <sheetData>
    <row r="1" spans="1:19" ht="30.75" thickBot="1" x14ac:dyDescent="0.45">
      <c r="N1" s="627" t="s">
        <v>134</v>
      </c>
      <c r="O1" s="628"/>
      <c r="P1" s="628"/>
      <c r="Q1" s="628"/>
      <c r="R1" s="628"/>
      <c r="S1" s="629"/>
    </row>
    <row r="2" spans="1:19" x14ac:dyDescent="0.2">
      <c r="A2" s="34" t="s">
        <v>383</v>
      </c>
    </row>
    <row r="3" spans="1:19" x14ac:dyDescent="0.2">
      <c r="A3" s="34" t="s">
        <v>361</v>
      </c>
    </row>
    <row r="4" spans="1:19" ht="18" x14ac:dyDescent="0.25">
      <c r="A4" s="21" t="s">
        <v>16</v>
      </c>
    </row>
    <row r="5" spans="1:19" ht="18.75" thickBot="1" x14ac:dyDescent="0.3">
      <c r="A5" s="21" t="str">
        <f>'GASB 75 JEs'!H6</f>
        <v>Password for protected sheet: BOE2025</v>
      </c>
    </row>
    <row r="6" spans="1:19" s="54" customFormat="1" ht="13.5" thickBot="1" x14ac:dyDescent="0.25">
      <c r="A6" s="58"/>
      <c r="B6" s="58"/>
      <c r="C6" s="58"/>
      <c r="D6" s="623" t="s">
        <v>575</v>
      </c>
      <c r="E6" s="624"/>
      <c r="F6" s="624"/>
      <c r="G6" s="625"/>
      <c r="H6" s="61"/>
      <c r="I6" s="623" t="s">
        <v>666</v>
      </c>
      <c r="J6" s="624"/>
      <c r="K6" s="624"/>
      <c r="L6" s="625"/>
      <c r="M6" s="58"/>
      <c r="O6" s="58"/>
      <c r="P6" s="58"/>
      <c r="Q6" s="58"/>
      <c r="R6" s="58"/>
      <c r="S6" s="61"/>
    </row>
    <row r="7" spans="1:19" s="54" customFormat="1" ht="12.75" x14ac:dyDescent="0.2">
      <c r="A7" s="59" t="s">
        <v>20</v>
      </c>
      <c r="B7" s="59" t="s">
        <v>21</v>
      </c>
      <c r="C7" s="58"/>
      <c r="D7" s="62" t="s">
        <v>382</v>
      </c>
      <c r="E7" s="58"/>
      <c r="F7" s="62" t="s">
        <v>304</v>
      </c>
      <c r="G7" s="62" t="s">
        <v>5</v>
      </c>
      <c r="H7" s="62"/>
      <c r="I7" s="62" t="s">
        <v>382</v>
      </c>
      <c r="J7" s="62"/>
      <c r="K7" s="62" t="s">
        <v>304</v>
      </c>
      <c r="L7" s="62" t="s">
        <v>5</v>
      </c>
      <c r="M7" s="58"/>
      <c r="N7" s="58"/>
      <c r="S7" s="61"/>
    </row>
    <row r="8" spans="1:19" s="54" customFormat="1" ht="12.75" x14ac:dyDescent="0.2"/>
    <row r="9" spans="1:19" s="54" customFormat="1" ht="12.75" x14ac:dyDescent="0.2">
      <c r="A9" s="55" t="s">
        <v>487</v>
      </c>
      <c r="B9" s="54" t="s">
        <v>22</v>
      </c>
      <c r="C9" s="55"/>
      <c r="D9" s="364">
        <v>0</v>
      </c>
      <c r="E9" s="55"/>
      <c r="F9" s="364">
        <v>0</v>
      </c>
      <c r="G9" s="56">
        <f>D9+F9</f>
        <v>0</v>
      </c>
      <c r="H9" s="56"/>
      <c r="I9" s="364">
        <v>0</v>
      </c>
      <c r="J9" s="55"/>
      <c r="K9" s="364">
        <v>0</v>
      </c>
      <c r="L9" s="56">
        <f>I9+K9</f>
        <v>0</v>
      </c>
      <c r="S9" s="194"/>
    </row>
    <row r="10" spans="1:19" s="54" customFormat="1" ht="12.75" x14ac:dyDescent="0.2">
      <c r="A10" s="54" t="s">
        <v>488</v>
      </c>
      <c r="B10" s="54" t="s">
        <v>23</v>
      </c>
      <c r="D10" s="364">
        <v>0</v>
      </c>
      <c r="E10" s="55"/>
      <c r="F10" s="364">
        <v>0</v>
      </c>
      <c r="G10" s="56">
        <f t="shared" ref="G10:G45" si="0">D10+F10</f>
        <v>0</v>
      </c>
      <c r="H10" s="56"/>
      <c r="I10" s="364">
        <v>0</v>
      </c>
      <c r="J10" s="55"/>
      <c r="K10" s="364">
        <v>0</v>
      </c>
      <c r="L10" s="56">
        <f t="shared" ref="L10:L26" si="1">I10+K10</f>
        <v>0</v>
      </c>
      <c r="S10" s="194"/>
    </row>
    <row r="11" spans="1:19" s="54" customFormat="1" ht="12.75" x14ac:dyDescent="0.2">
      <c r="A11" s="54" t="s">
        <v>489</v>
      </c>
      <c r="B11" s="54" t="s">
        <v>24</v>
      </c>
      <c r="D11" s="364">
        <v>0</v>
      </c>
      <c r="E11" s="55"/>
      <c r="F11" s="364">
        <v>0</v>
      </c>
      <c r="G11" s="56">
        <f t="shared" si="0"/>
        <v>0</v>
      </c>
      <c r="H11" s="56"/>
      <c r="I11" s="364">
        <v>0</v>
      </c>
      <c r="J11" s="55"/>
      <c r="K11" s="364">
        <v>0</v>
      </c>
      <c r="L11" s="56">
        <f t="shared" si="1"/>
        <v>0</v>
      </c>
      <c r="S11" s="194"/>
    </row>
    <row r="12" spans="1:19" s="54" customFormat="1" ht="12.75" x14ac:dyDescent="0.2">
      <c r="A12" s="55" t="s">
        <v>490</v>
      </c>
      <c r="B12" s="54" t="s">
        <v>25</v>
      </c>
      <c r="C12" s="55"/>
      <c r="D12" s="364">
        <v>0</v>
      </c>
      <c r="E12" s="55"/>
      <c r="F12" s="364">
        <v>0</v>
      </c>
      <c r="G12" s="56">
        <f t="shared" si="0"/>
        <v>0</v>
      </c>
      <c r="H12" s="56"/>
      <c r="I12" s="364">
        <v>0</v>
      </c>
      <c r="J12" s="55"/>
      <c r="K12" s="364">
        <v>0</v>
      </c>
      <c r="L12" s="56">
        <f t="shared" si="1"/>
        <v>0</v>
      </c>
      <c r="S12" s="194"/>
    </row>
    <row r="13" spans="1:19" s="54" customFormat="1" ht="12.75" x14ac:dyDescent="0.2">
      <c r="A13" s="54" t="s">
        <v>491</v>
      </c>
      <c r="B13" s="54" t="s">
        <v>26</v>
      </c>
      <c r="D13" s="364">
        <v>0</v>
      </c>
      <c r="E13" s="55"/>
      <c r="F13" s="364">
        <v>0</v>
      </c>
      <c r="G13" s="56">
        <f t="shared" si="0"/>
        <v>0</v>
      </c>
      <c r="H13" s="56"/>
      <c r="I13" s="364">
        <v>0</v>
      </c>
      <c r="J13" s="55"/>
      <c r="K13" s="364">
        <v>0</v>
      </c>
      <c r="L13" s="56">
        <f t="shared" si="1"/>
        <v>0</v>
      </c>
      <c r="S13" s="194"/>
    </row>
    <row r="14" spans="1:19" s="54" customFormat="1" ht="12.75" x14ac:dyDescent="0.2">
      <c r="A14" s="54" t="s">
        <v>492</v>
      </c>
      <c r="B14" s="54" t="s">
        <v>27</v>
      </c>
      <c r="D14" s="364">
        <v>0</v>
      </c>
      <c r="E14" s="55"/>
      <c r="F14" s="364">
        <v>0</v>
      </c>
      <c r="G14" s="56">
        <f t="shared" si="0"/>
        <v>0</v>
      </c>
      <c r="H14" s="56"/>
      <c r="I14" s="364">
        <v>0</v>
      </c>
      <c r="J14" s="55"/>
      <c r="K14" s="364">
        <v>0</v>
      </c>
      <c r="L14" s="56">
        <f t="shared" si="1"/>
        <v>0</v>
      </c>
      <c r="S14" s="194"/>
    </row>
    <row r="15" spans="1:19" s="54" customFormat="1" ht="12.75" x14ac:dyDescent="0.2">
      <c r="A15" s="54" t="s">
        <v>493</v>
      </c>
      <c r="B15" s="54" t="s">
        <v>28</v>
      </c>
      <c r="D15" s="364">
        <v>0</v>
      </c>
      <c r="E15" s="55"/>
      <c r="F15" s="364">
        <v>0</v>
      </c>
      <c r="G15" s="56">
        <f t="shared" si="0"/>
        <v>0</v>
      </c>
      <c r="H15" s="56"/>
      <c r="I15" s="364">
        <v>0</v>
      </c>
      <c r="J15" s="55"/>
      <c r="K15" s="364">
        <v>0</v>
      </c>
      <c r="L15" s="56">
        <f t="shared" si="1"/>
        <v>0</v>
      </c>
      <c r="S15" s="194"/>
    </row>
    <row r="16" spans="1:19" s="54" customFormat="1" ht="12.75" x14ac:dyDescent="0.2">
      <c r="A16" s="54" t="s">
        <v>494</v>
      </c>
      <c r="B16" s="54" t="s">
        <v>29</v>
      </c>
      <c r="D16" s="364">
        <v>0</v>
      </c>
      <c r="E16" s="55"/>
      <c r="F16" s="364">
        <v>0</v>
      </c>
      <c r="G16" s="56">
        <f t="shared" si="0"/>
        <v>0</v>
      </c>
      <c r="H16" s="56"/>
      <c r="I16" s="364">
        <v>0</v>
      </c>
      <c r="J16" s="55"/>
      <c r="K16" s="364">
        <v>0</v>
      </c>
      <c r="L16" s="56">
        <f t="shared" si="1"/>
        <v>0</v>
      </c>
      <c r="S16" s="194"/>
    </row>
    <row r="17" spans="1:19" s="54" customFormat="1" ht="12.75" x14ac:dyDescent="0.2">
      <c r="A17" s="54" t="s">
        <v>495</v>
      </c>
      <c r="B17" s="54" t="s">
        <v>30</v>
      </c>
      <c r="D17" s="364">
        <v>0</v>
      </c>
      <c r="E17" s="55"/>
      <c r="F17" s="364">
        <v>0</v>
      </c>
      <c r="G17" s="56">
        <f t="shared" si="0"/>
        <v>0</v>
      </c>
      <c r="H17" s="56"/>
      <c r="I17" s="364">
        <v>0</v>
      </c>
      <c r="J17" s="55"/>
      <c r="K17" s="364">
        <v>0</v>
      </c>
      <c r="L17" s="56">
        <f t="shared" si="1"/>
        <v>0</v>
      </c>
      <c r="S17" s="194"/>
    </row>
    <row r="18" spans="1:19" s="54" customFormat="1" ht="12.75" x14ac:dyDescent="0.2">
      <c r="A18" s="54" t="s">
        <v>496</v>
      </c>
      <c r="B18" s="54" t="s">
        <v>31</v>
      </c>
      <c r="D18" s="364">
        <v>0</v>
      </c>
      <c r="E18" s="55"/>
      <c r="F18" s="364">
        <v>0</v>
      </c>
      <c r="G18" s="56">
        <f t="shared" si="0"/>
        <v>0</v>
      </c>
      <c r="H18" s="56"/>
      <c r="I18" s="364">
        <v>0</v>
      </c>
      <c r="J18" s="55"/>
      <c r="K18" s="364">
        <v>0</v>
      </c>
      <c r="L18" s="56">
        <f t="shared" si="1"/>
        <v>0</v>
      </c>
      <c r="S18" s="194"/>
    </row>
    <row r="19" spans="1:19" s="54" customFormat="1" ht="12.75" x14ac:dyDescent="0.2">
      <c r="A19" s="54" t="s">
        <v>497</v>
      </c>
      <c r="B19" s="54" t="s">
        <v>32</v>
      </c>
      <c r="D19" s="364">
        <v>0</v>
      </c>
      <c r="E19" s="55"/>
      <c r="F19" s="364">
        <v>0</v>
      </c>
      <c r="G19" s="56">
        <f t="shared" si="0"/>
        <v>0</v>
      </c>
      <c r="H19" s="56"/>
      <c r="I19" s="364">
        <v>0</v>
      </c>
      <c r="J19" s="55"/>
      <c r="K19" s="364">
        <v>0</v>
      </c>
      <c r="L19" s="56">
        <f t="shared" si="1"/>
        <v>0</v>
      </c>
      <c r="S19" s="194"/>
    </row>
    <row r="20" spans="1:19" s="54" customFormat="1" ht="12.75" x14ac:dyDescent="0.2">
      <c r="A20" s="54" t="s">
        <v>498</v>
      </c>
      <c r="B20" s="54" t="s">
        <v>33</v>
      </c>
      <c r="D20" s="364">
        <v>0</v>
      </c>
      <c r="E20" s="55"/>
      <c r="F20" s="364">
        <v>0</v>
      </c>
      <c r="G20" s="56">
        <f t="shared" si="0"/>
        <v>0</v>
      </c>
      <c r="H20" s="56"/>
      <c r="I20" s="364">
        <v>0</v>
      </c>
      <c r="J20" s="55"/>
      <c r="K20" s="364">
        <v>0</v>
      </c>
      <c r="L20" s="56">
        <f t="shared" si="1"/>
        <v>0</v>
      </c>
      <c r="S20" s="194"/>
    </row>
    <row r="21" spans="1:19" s="54" customFormat="1" ht="12.75" x14ac:dyDescent="0.2">
      <c r="A21" s="54" t="s">
        <v>499</v>
      </c>
      <c r="B21" s="54" t="s">
        <v>34</v>
      </c>
      <c r="D21" s="364">
        <v>0</v>
      </c>
      <c r="E21" s="55"/>
      <c r="F21" s="364">
        <v>0</v>
      </c>
      <c r="G21" s="56">
        <f t="shared" si="0"/>
        <v>0</v>
      </c>
      <c r="H21" s="56"/>
      <c r="I21" s="364">
        <v>0</v>
      </c>
      <c r="J21" s="55"/>
      <c r="K21" s="364">
        <v>0</v>
      </c>
      <c r="L21" s="56">
        <f t="shared" si="1"/>
        <v>0</v>
      </c>
      <c r="S21" s="194"/>
    </row>
    <row r="22" spans="1:19" s="54" customFormat="1" ht="12.75" x14ac:dyDescent="0.2">
      <c r="A22" s="54" t="s">
        <v>500</v>
      </c>
      <c r="B22" s="54" t="s">
        <v>35</v>
      </c>
      <c r="D22" s="364">
        <v>0</v>
      </c>
      <c r="E22" s="55"/>
      <c r="F22" s="364">
        <v>0</v>
      </c>
      <c r="G22" s="56">
        <f t="shared" si="0"/>
        <v>0</v>
      </c>
      <c r="H22" s="56"/>
      <c r="I22" s="364">
        <v>0</v>
      </c>
      <c r="J22" s="55"/>
      <c r="K22" s="364">
        <v>0</v>
      </c>
      <c r="L22" s="56">
        <f t="shared" si="1"/>
        <v>0</v>
      </c>
      <c r="S22" s="194"/>
    </row>
    <row r="23" spans="1:19" s="54" customFormat="1" ht="12.75" x14ac:dyDescent="0.2">
      <c r="A23" s="54" t="s">
        <v>501</v>
      </c>
      <c r="B23" s="54" t="s">
        <v>36</v>
      </c>
      <c r="D23" s="364">
        <v>0</v>
      </c>
      <c r="E23" s="55"/>
      <c r="F23" s="364">
        <v>0</v>
      </c>
      <c r="G23" s="56">
        <f t="shared" si="0"/>
        <v>0</v>
      </c>
      <c r="H23" s="56"/>
      <c r="I23" s="364">
        <v>0</v>
      </c>
      <c r="J23" s="55"/>
      <c r="K23" s="364">
        <v>0</v>
      </c>
      <c r="L23" s="56">
        <f t="shared" si="1"/>
        <v>0</v>
      </c>
      <c r="S23" s="194"/>
    </row>
    <row r="24" spans="1:19" s="54" customFormat="1" ht="12.75" x14ac:dyDescent="0.2">
      <c r="A24" s="54" t="s">
        <v>502</v>
      </c>
      <c r="B24" s="54" t="s">
        <v>37</v>
      </c>
      <c r="D24" s="364">
        <v>0</v>
      </c>
      <c r="E24" s="55"/>
      <c r="F24" s="364">
        <v>0</v>
      </c>
      <c r="G24" s="56">
        <f t="shared" si="0"/>
        <v>0</v>
      </c>
      <c r="H24" s="56"/>
      <c r="I24" s="364">
        <v>0</v>
      </c>
      <c r="J24" s="55"/>
      <c r="K24" s="364">
        <v>0</v>
      </c>
      <c r="L24" s="56">
        <f t="shared" si="1"/>
        <v>0</v>
      </c>
      <c r="S24" s="194"/>
    </row>
    <row r="25" spans="1:19" s="54" customFormat="1" ht="12.75" x14ac:dyDescent="0.2">
      <c r="A25" s="54" t="s">
        <v>503</v>
      </c>
      <c r="B25" s="54" t="s">
        <v>38</v>
      </c>
      <c r="D25" s="364">
        <v>0</v>
      </c>
      <c r="E25" s="55"/>
      <c r="F25" s="364">
        <v>0</v>
      </c>
      <c r="G25" s="56">
        <f t="shared" si="0"/>
        <v>0</v>
      </c>
      <c r="H25" s="56"/>
      <c r="I25" s="364">
        <v>0</v>
      </c>
      <c r="J25" s="55"/>
      <c r="K25" s="364">
        <v>0</v>
      </c>
      <c r="L25" s="56">
        <f t="shared" si="1"/>
        <v>0</v>
      </c>
      <c r="S25" s="194"/>
    </row>
    <row r="26" spans="1:19" s="54" customFormat="1" ht="12.75" x14ac:dyDescent="0.2">
      <c r="A26" s="54" t="s">
        <v>504</v>
      </c>
      <c r="B26" s="54" t="s">
        <v>39</v>
      </c>
      <c r="D26" s="364">
        <v>0</v>
      </c>
      <c r="E26" s="55"/>
      <c r="F26" s="364">
        <v>0</v>
      </c>
      <c r="G26" s="56">
        <f t="shared" si="0"/>
        <v>0</v>
      </c>
      <c r="H26" s="56"/>
      <c r="I26" s="364">
        <v>0</v>
      </c>
      <c r="J26" s="55"/>
      <c r="K26" s="364">
        <v>0</v>
      </c>
      <c r="L26" s="56">
        <f t="shared" si="1"/>
        <v>0</v>
      </c>
      <c r="S26" s="194"/>
    </row>
    <row r="27" spans="1:19" s="54" customFormat="1" ht="12.75" x14ac:dyDescent="0.2">
      <c r="S27" s="194"/>
    </row>
    <row r="28" spans="1:19" s="54" customFormat="1" ht="12.75" x14ac:dyDescent="0.2">
      <c r="A28" s="55" t="s">
        <v>505</v>
      </c>
      <c r="B28" s="54" t="s">
        <v>22</v>
      </c>
      <c r="C28" s="55"/>
      <c r="D28" s="364">
        <v>0</v>
      </c>
      <c r="E28" s="55"/>
      <c r="F28" s="364">
        <v>0</v>
      </c>
      <c r="G28" s="56">
        <f t="shared" si="0"/>
        <v>0</v>
      </c>
      <c r="H28" s="56"/>
      <c r="I28" s="364">
        <v>0</v>
      </c>
      <c r="J28" s="55"/>
      <c r="K28" s="364">
        <v>0</v>
      </c>
      <c r="L28" s="56">
        <f t="shared" ref="L28:L45" si="2">I28+K28</f>
        <v>0</v>
      </c>
      <c r="S28" s="194"/>
    </row>
    <row r="29" spans="1:19" s="54" customFormat="1" ht="12.75" x14ac:dyDescent="0.2">
      <c r="A29" s="54" t="s">
        <v>506</v>
      </c>
      <c r="B29" s="54" t="s">
        <v>23</v>
      </c>
      <c r="D29" s="364">
        <v>0</v>
      </c>
      <c r="E29" s="55"/>
      <c r="F29" s="364">
        <v>0</v>
      </c>
      <c r="G29" s="56">
        <f t="shared" si="0"/>
        <v>0</v>
      </c>
      <c r="H29" s="56"/>
      <c r="I29" s="364">
        <v>0</v>
      </c>
      <c r="J29" s="55"/>
      <c r="K29" s="364">
        <v>0</v>
      </c>
      <c r="L29" s="56">
        <f t="shared" si="2"/>
        <v>0</v>
      </c>
      <c r="S29" s="194"/>
    </row>
    <row r="30" spans="1:19" s="54" customFormat="1" ht="12.75" x14ac:dyDescent="0.2">
      <c r="A30" s="54" t="s">
        <v>507</v>
      </c>
      <c r="B30" s="54" t="s">
        <v>24</v>
      </c>
      <c r="D30" s="364">
        <v>0</v>
      </c>
      <c r="E30" s="55"/>
      <c r="F30" s="364">
        <v>0</v>
      </c>
      <c r="G30" s="56">
        <f t="shared" si="0"/>
        <v>0</v>
      </c>
      <c r="H30" s="56"/>
      <c r="I30" s="364">
        <v>0</v>
      </c>
      <c r="J30" s="55"/>
      <c r="K30" s="364">
        <v>0</v>
      </c>
      <c r="L30" s="56">
        <f t="shared" si="2"/>
        <v>0</v>
      </c>
      <c r="S30" s="194"/>
    </row>
    <row r="31" spans="1:19" s="54" customFormat="1" ht="12.75" x14ac:dyDescent="0.2">
      <c r="A31" s="55" t="s">
        <v>508</v>
      </c>
      <c r="B31" s="54" t="s">
        <v>25</v>
      </c>
      <c r="C31" s="55"/>
      <c r="D31" s="364">
        <v>0</v>
      </c>
      <c r="E31" s="55"/>
      <c r="F31" s="364">
        <v>0</v>
      </c>
      <c r="G31" s="56">
        <f t="shared" si="0"/>
        <v>0</v>
      </c>
      <c r="H31" s="56"/>
      <c r="I31" s="364">
        <v>0</v>
      </c>
      <c r="J31" s="55"/>
      <c r="K31" s="364">
        <v>0</v>
      </c>
      <c r="L31" s="56">
        <f t="shared" si="2"/>
        <v>0</v>
      </c>
      <c r="S31" s="194"/>
    </row>
    <row r="32" spans="1:19" s="54" customFormat="1" ht="12.75" x14ac:dyDescent="0.2">
      <c r="A32" s="54" t="s">
        <v>509</v>
      </c>
      <c r="B32" s="54" t="s">
        <v>26</v>
      </c>
      <c r="D32" s="364">
        <v>0</v>
      </c>
      <c r="E32" s="55"/>
      <c r="F32" s="364">
        <v>0</v>
      </c>
      <c r="G32" s="56">
        <f t="shared" si="0"/>
        <v>0</v>
      </c>
      <c r="H32" s="56"/>
      <c r="I32" s="364">
        <v>0</v>
      </c>
      <c r="J32" s="55"/>
      <c r="K32" s="364">
        <v>0</v>
      </c>
      <c r="L32" s="56">
        <f t="shared" si="2"/>
        <v>0</v>
      </c>
      <c r="S32" s="194"/>
    </row>
    <row r="33" spans="1:19" s="54" customFormat="1" ht="12.75" x14ac:dyDescent="0.2">
      <c r="A33" s="54" t="s">
        <v>510</v>
      </c>
      <c r="B33" s="54" t="s">
        <v>27</v>
      </c>
      <c r="D33" s="364">
        <v>0</v>
      </c>
      <c r="E33" s="55"/>
      <c r="F33" s="364">
        <v>0</v>
      </c>
      <c r="G33" s="56">
        <f t="shared" si="0"/>
        <v>0</v>
      </c>
      <c r="H33" s="56"/>
      <c r="I33" s="364">
        <v>0</v>
      </c>
      <c r="J33" s="55"/>
      <c r="K33" s="364">
        <v>0</v>
      </c>
      <c r="L33" s="56">
        <f t="shared" si="2"/>
        <v>0</v>
      </c>
      <c r="S33" s="194"/>
    </row>
    <row r="34" spans="1:19" s="54" customFormat="1" ht="12.75" x14ac:dyDescent="0.2">
      <c r="A34" s="54" t="s">
        <v>511</v>
      </c>
      <c r="B34" s="54" t="s">
        <v>28</v>
      </c>
      <c r="D34" s="364">
        <v>0</v>
      </c>
      <c r="E34" s="55"/>
      <c r="F34" s="364">
        <v>0</v>
      </c>
      <c r="G34" s="56">
        <f t="shared" si="0"/>
        <v>0</v>
      </c>
      <c r="H34" s="56"/>
      <c r="I34" s="364">
        <v>0</v>
      </c>
      <c r="J34" s="55"/>
      <c r="K34" s="364">
        <v>0</v>
      </c>
      <c r="L34" s="56">
        <f t="shared" si="2"/>
        <v>0</v>
      </c>
      <c r="S34" s="194"/>
    </row>
    <row r="35" spans="1:19" s="54" customFormat="1" ht="12.75" x14ac:dyDescent="0.2">
      <c r="A35" s="54" t="s">
        <v>512</v>
      </c>
      <c r="B35" s="54" t="s">
        <v>29</v>
      </c>
      <c r="D35" s="364">
        <v>0</v>
      </c>
      <c r="E35" s="55"/>
      <c r="F35" s="364">
        <v>0</v>
      </c>
      <c r="G35" s="56">
        <f t="shared" si="0"/>
        <v>0</v>
      </c>
      <c r="H35" s="56"/>
      <c r="I35" s="364">
        <v>0</v>
      </c>
      <c r="J35" s="55"/>
      <c r="K35" s="364">
        <v>0</v>
      </c>
      <c r="L35" s="56">
        <f t="shared" si="2"/>
        <v>0</v>
      </c>
      <c r="S35" s="194"/>
    </row>
    <row r="36" spans="1:19" s="54" customFormat="1" ht="12.75" x14ac:dyDescent="0.2">
      <c r="A36" s="54" t="s">
        <v>513</v>
      </c>
      <c r="B36" s="54" t="s">
        <v>30</v>
      </c>
      <c r="D36" s="364">
        <v>0</v>
      </c>
      <c r="E36" s="55"/>
      <c r="F36" s="364">
        <v>0</v>
      </c>
      <c r="G36" s="56">
        <f t="shared" si="0"/>
        <v>0</v>
      </c>
      <c r="H36" s="56"/>
      <c r="I36" s="364">
        <v>0</v>
      </c>
      <c r="J36" s="55"/>
      <c r="K36" s="364">
        <v>0</v>
      </c>
      <c r="L36" s="56">
        <f t="shared" si="2"/>
        <v>0</v>
      </c>
      <c r="S36" s="194"/>
    </row>
    <row r="37" spans="1:19" s="54" customFormat="1" ht="12.75" x14ac:dyDescent="0.2">
      <c r="A37" s="54" t="s">
        <v>514</v>
      </c>
      <c r="B37" s="54" t="s">
        <v>31</v>
      </c>
      <c r="D37" s="364">
        <v>0</v>
      </c>
      <c r="E37" s="55"/>
      <c r="F37" s="364">
        <v>0</v>
      </c>
      <c r="G37" s="56">
        <f t="shared" si="0"/>
        <v>0</v>
      </c>
      <c r="H37" s="56"/>
      <c r="I37" s="364">
        <v>0</v>
      </c>
      <c r="J37" s="55"/>
      <c r="K37" s="364">
        <v>0</v>
      </c>
      <c r="L37" s="56">
        <f t="shared" si="2"/>
        <v>0</v>
      </c>
      <c r="S37" s="194"/>
    </row>
    <row r="38" spans="1:19" s="54" customFormat="1" ht="12.75" x14ac:dyDescent="0.2">
      <c r="A38" s="54" t="s">
        <v>515</v>
      </c>
      <c r="B38" s="54" t="s">
        <v>32</v>
      </c>
      <c r="D38" s="364">
        <v>0</v>
      </c>
      <c r="E38" s="55"/>
      <c r="F38" s="364">
        <v>0</v>
      </c>
      <c r="G38" s="56">
        <f t="shared" si="0"/>
        <v>0</v>
      </c>
      <c r="H38" s="56"/>
      <c r="I38" s="364">
        <v>0</v>
      </c>
      <c r="J38" s="55"/>
      <c r="K38" s="364">
        <v>0</v>
      </c>
      <c r="L38" s="56">
        <f t="shared" si="2"/>
        <v>0</v>
      </c>
      <c r="S38" s="194"/>
    </row>
    <row r="39" spans="1:19" s="54" customFormat="1" ht="12.75" x14ac:dyDescent="0.2">
      <c r="A39" s="54" t="s">
        <v>516</v>
      </c>
      <c r="B39" s="54" t="s">
        <v>33</v>
      </c>
      <c r="D39" s="364">
        <v>0</v>
      </c>
      <c r="E39" s="55"/>
      <c r="F39" s="364">
        <v>0</v>
      </c>
      <c r="G39" s="56">
        <f t="shared" si="0"/>
        <v>0</v>
      </c>
      <c r="H39" s="56"/>
      <c r="I39" s="364">
        <v>0</v>
      </c>
      <c r="J39" s="55"/>
      <c r="K39" s="364">
        <v>0</v>
      </c>
      <c r="L39" s="56">
        <f t="shared" si="2"/>
        <v>0</v>
      </c>
      <c r="S39" s="194"/>
    </row>
    <row r="40" spans="1:19" s="54" customFormat="1" ht="12.75" x14ac:dyDescent="0.2">
      <c r="A40" s="54" t="s">
        <v>517</v>
      </c>
      <c r="B40" s="54" t="s">
        <v>34</v>
      </c>
      <c r="D40" s="364">
        <v>0</v>
      </c>
      <c r="E40" s="55"/>
      <c r="F40" s="364">
        <v>0</v>
      </c>
      <c r="G40" s="56">
        <f t="shared" si="0"/>
        <v>0</v>
      </c>
      <c r="H40" s="56"/>
      <c r="I40" s="364">
        <v>0</v>
      </c>
      <c r="J40" s="55"/>
      <c r="K40" s="364">
        <v>0</v>
      </c>
      <c r="L40" s="56">
        <f t="shared" si="2"/>
        <v>0</v>
      </c>
      <c r="S40" s="194"/>
    </row>
    <row r="41" spans="1:19" s="54" customFormat="1" ht="12.75" x14ac:dyDescent="0.2">
      <c r="A41" s="54" t="s">
        <v>518</v>
      </c>
      <c r="B41" s="54" t="s">
        <v>35</v>
      </c>
      <c r="D41" s="364">
        <v>0</v>
      </c>
      <c r="E41" s="55"/>
      <c r="F41" s="364">
        <v>0</v>
      </c>
      <c r="G41" s="56">
        <f t="shared" si="0"/>
        <v>0</v>
      </c>
      <c r="H41" s="56"/>
      <c r="I41" s="364">
        <v>0</v>
      </c>
      <c r="J41" s="55"/>
      <c r="K41" s="364">
        <v>0</v>
      </c>
      <c r="L41" s="56">
        <f t="shared" si="2"/>
        <v>0</v>
      </c>
      <c r="S41" s="194"/>
    </row>
    <row r="42" spans="1:19" s="54" customFormat="1" ht="12.75" x14ac:dyDescent="0.2">
      <c r="A42" s="54" t="s">
        <v>519</v>
      </c>
      <c r="B42" s="54" t="s">
        <v>36</v>
      </c>
      <c r="D42" s="364">
        <v>0</v>
      </c>
      <c r="E42" s="55"/>
      <c r="F42" s="364">
        <v>0</v>
      </c>
      <c r="G42" s="56">
        <f t="shared" si="0"/>
        <v>0</v>
      </c>
      <c r="H42" s="56"/>
      <c r="I42" s="364">
        <v>0</v>
      </c>
      <c r="J42" s="55"/>
      <c r="K42" s="364">
        <v>0</v>
      </c>
      <c r="L42" s="56">
        <f t="shared" si="2"/>
        <v>0</v>
      </c>
      <c r="S42" s="194"/>
    </row>
    <row r="43" spans="1:19" s="54" customFormat="1" ht="12.75" x14ac:dyDescent="0.2">
      <c r="A43" s="54" t="s">
        <v>520</v>
      </c>
      <c r="B43" s="54" t="s">
        <v>37</v>
      </c>
      <c r="D43" s="364">
        <v>0</v>
      </c>
      <c r="E43" s="55"/>
      <c r="F43" s="364">
        <v>0</v>
      </c>
      <c r="G43" s="56">
        <f t="shared" si="0"/>
        <v>0</v>
      </c>
      <c r="H43" s="56"/>
      <c r="I43" s="364">
        <v>0</v>
      </c>
      <c r="J43" s="55"/>
      <c r="K43" s="364">
        <v>0</v>
      </c>
      <c r="L43" s="56">
        <f t="shared" si="2"/>
        <v>0</v>
      </c>
      <c r="S43" s="194"/>
    </row>
    <row r="44" spans="1:19" s="54" customFormat="1" ht="12.75" x14ac:dyDescent="0.2">
      <c r="A44" s="54" t="s">
        <v>521</v>
      </c>
      <c r="B44" s="54" t="s">
        <v>38</v>
      </c>
      <c r="D44" s="364">
        <v>0</v>
      </c>
      <c r="E44" s="55"/>
      <c r="F44" s="364">
        <v>0</v>
      </c>
      <c r="G44" s="56">
        <f t="shared" si="0"/>
        <v>0</v>
      </c>
      <c r="H44" s="56"/>
      <c r="I44" s="364">
        <v>0</v>
      </c>
      <c r="J44" s="55"/>
      <c r="K44" s="364">
        <v>0</v>
      </c>
      <c r="L44" s="56">
        <f t="shared" si="2"/>
        <v>0</v>
      </c>
      <c r="S44" s="194"/>
    </row>
    <row r="45" spans="1:19" s="54" customFormat="1" ht="12.75" x14ac:dyDescent="0.2">
      <c r="A45" s="54" t="s">
        <v>522</v>
      </c>
      <c r="B45" s="54" t="s">
        <v>39</v>
      </c>
      <c r="D45" s="364">
        <v>0</v>
      </c>
      <c r="E45" s="55"/>
      <c r="F45" s="364">
        <v>0</v>
      </c>
      <c r="G45" s="56">
        <f t="shared" si="0"/>
        <v>0</v>
      </c>
      <c r="H45" s="56"/>
      <c r="I45" s="364">
        <v>0</v>
      </c>
      <c r="J45" s="55"/>
      <c r="K45" s="364">
        <v>0</v>
      </c>
      <c r="L45" s="56">
        <f t="shared" si="2"/>
        <v>0</v>
      </c>
      <c r="S45" s="194"/>
    </row>
    <row r="46" spans="1:19" s="54" customFormat="1" ht="13.5" thickBot="1" x14ac:dyDescent="0.25">
      <c r="D46" s="293">
        <f>SUM(D9:D45)</f>
        <v>0</v>
      </c>
      <c r="F46" s="293">
        <f>SUM(F9:F45)</f>
        <v>0</v>
      </c>
      <c r="G46" s="37">
        <f>SUM(G9:G45)</f>
        <v>0</v>
      </c>
      <c r="H46" s="35"/>
      <c r="I46" s="293">
        <f>SUM(I9:I45)</f>
        <v>0</v>
      </c>
      <c r="J46" s="35"/>
      <c r="K46" s="293">
        <f>SUM(K9:K45)</f>
        <v>0</v>
      </c>
      <c r="L46" s="37">
        <f>SUM(L9:L45)</f>
        <v>0</v>
      </c>
      <c r="S46" s="35"/>
    </row>
    <row r="47" spans="1:19" s="54" customFormat="1" ht="13.5" thickTop="1" x14ac:dyDescent="0.2"/>
    <row r="48" spans="1:19" s="54" customFormat="1" ht="12.75" x14ac:dyDescent="0.2"/>
    <row r="49" spans="1:20" s="54" customFormat="1" ht="12.75" x14ac:dyDescent="0.2">
      <c r="A49" s="59" t="s">
        <v>40</v>
      </c>
      <c r="F49" s="630" t="s">
        <v>384</v>
      </c>
      <c r="G49" s="630"/>
      <c r="K49" s="630" t="s">
        <v>384</v>
      </c>
      <c r="L49" s="630"/>
      <c r="M49" s="58"/>
      <c r="N49" s="58"/>
      <c r="Q49" s="58"/>
      <c r="R49" s="58"/>
      <c r="S49" s="61"/>
    </row>
    <row r="50" spans="1:20" s="54" customFormat="1" ht="12.75" x14ac:dyDescent="0.2">
      <c r="F50" s="60" t="str">
        <f>D6</f>
        <v>FY2024</v>
      </c>
      <c r="G50" s="60" t="s">
        <v>41</v>
      </c>
      <c r="K50" s="60" t="str">
        <f>I6</f>
        <v>FY2025</v>
      </c>
      <c r="L50" s="60" t="s">
        <v>41</v>
      </c>
      <c r="M50" s="58"/>
      <c r="N50" s="58"/>
      <c r="Q50" s="58"/>
      <c r="R50" s="58"/>
      <c r="S50" s="61"/>
    </row>
    <row r="51" spans="1:20" s="54" customFormat="1" ht="12.75" x14ac:dyDescent="0.2">
      <c r="A51" s="52" t="s">
        <v>276</v>
      </c>
      <c r="F51" s="35">
        <f>G9+G10+G11+G12+G13+G14+G15+G16+G28+G29+G30+G31+G32+G33+G34+G35</f>
        <v>0</v>
      </c>
      <c r="G51" s="36">
        <f t="shared" ref="G51:G62" si="3">IF($F$62=0,0,F51/$F$62)</f>
        <v>0</v>
      </c>
      <c r="K51" s="35">
        <f>L9+L10+L11+L12+L13+L14+L15+L16+L28+L29+L30+L31+L32+L33+L34+L35</f>
        <v>0</v>
      </c>
      <c r="L51" s="36">
        <f t="shared" ref="L51:L62" si="4">IF($K$62=0,0,K51/$K$62)</f>
        <v>0</v>
      </c>
      <c r="S51" s="35"/>
    </row>
    <row r="52" spans="1:20" s="54" customFormat="1" ht="12.75" x14ac:dyDescent="0.2">
      <c r="A52" s="52" t="s">
        <v>277</v>
      </c>
      <c r="F52" s="35">
        <f t="shared" ref="F52:F61" si="5">G17+G36</f>
        <v>0</v>
      </c>
      <c r="G52" s="36">
        <f t="shared" si="3"/>
        <v>0</v>
      </c>
      <c r="K52" s="35">
        <f t="shared" ref="K52:K61" si="6">L17+L36</f>
        <v>0</v>
      </c>
      <c r="L52" s="36">
        <f t="shared" si="4"/>
        <v>0</v>
      </c>
      <c r="S52" s="35"/>
    </row>
    <row r="53" spans="1:20" s="54" customFormat="1" ht="12.75" x14ac:dyDescent="0.2">
      <c r="A53" s="52" t="s">
        <v>278</v>
      </c>
      <c r="F53" s="35">
        <f t="shared" si="5"/>
        <v>0</v>
      </c>
      <c r="G53" s="36">
        <f t="shared" si="3"/>
        <v>0</v>
      </c>
      <c r="K53" s="35">
        <f t="shared" si="6"/>
        <v>0</v>
      </c>
      <c r="L53" s="36">
        <f t="shared" si="4"/>
        <v>0</v>
      </c>
      <c r="S53" s="35"/>
    </row>
    <row r="54" spans="1:20" s="54" customFormat="1" ht="12.75" x14ac:dyDescent="0.2">
      <c r="A54" s="52" t="s">
        <v>279</v>
      </c>
      <c r="F54" s="35">
        <f t="shared" si="5"/>
        <v>0</v>
      </c>
      <c r="G54" s="36">
        <f t="shared" si="3"/>
        <v>0</v>
      </c>
      <c r="K54" s="35">
        <f t="shared" si="6"/>
        <v>0</v>
      </c>
      <c r="L54" s="36">
        <f t="shared" si="4"/>
        <v>0</v>
      </c>
      <c r="S54" s="35"/>
    </row>
    <row r="55" spans="1:20" s="54" customFormat="1" ht="12.75" x14ac:dyDescent="0.2">
      <c r="A55" s="52" t="s">
        <v>280</v>
      </c>
      <c r="F55" s="35">
        <f t="shared" si="5"/>
        <v>0</v>
      </c>
      <c r="G55" s="36">
        <f t="shared" si="3"/>
        <v>0</v>
      </c>
      <c r="K55" s="35">
        <f t="shared" si="6"/>
        <v>0</v>
      </c>
      <c r="L55" s="36">
        <f t="shared" si="4"/>
        <v>0</v>
      </c>
      <c r="S55" s="35"/>
    </row>
    <row r="56" spans="1:20" s="54" customFormat="1" ht="12.75" x14ac:dyDescent="0.2">
      <c r="A56" s="52" t="s">
        <v>281</v>
      </c>
      <c r="F56" s="35">
        <f t="shared" si="5"/>
        <v>0</v>
      </c>
      <c r="G56" s="36">
        <f t="shared" si="3"/>
        <v>0</v>
      </c>
      <c r="K56" s="35">
        <f t="shared" si="6"/>
        <v>0</v>
      </c>
      <c r="L56" s="36">
        <f t="shared" si="4"/>
        <v>0</v>
      </c>
      <c r="S56" s="35"/>
    </row>
    <row r="57" spans="1:20" s="54" customFormat="1" ht="12.75" x14ac:dyDescent="0.2">
      <c r="A57" s="52" t="s">
        <v>282</v>
      </c>
      <c r="F57" s="35">
        <f t="shared" si="5"/>
        <v>0</v>
      </c>
      <c r="G57" s="36">
        <f t="shared" si="3"/>
        <v>0</v>
      </c>
      <c r="K57" s="35">
        <f t="shared" si="6"/>
        <v>0</v>
      </c>
      <c r="L57" s="36">
        <f t="shared" si="4"/>
        <v>0</v>
      </c>
      <c r="S57" s="35"/>
    </row>
    <row r="58" spans="1:20" s="54" customFormat="1" ht="12.75" x14ac:dyDescent="0.2">
      <c r="A58" s="52" t="s">
        <v>283</v>
      </c>
      <c r="F58" s="35">
        <f t="shared" si="5"/>
        <v>0</v>
      </c>
      <c r="G58" s="36">
        <f t="shared" si="3"/>
        <v>0</v>
      </c>
      <c r="K58" s="35">
        <f t="shared" si="6"/>
        <v>0</v>
      </c>
      <c r="L58" s="36">
        <f t="shared" si="4"/>
        <v>0</v>
      </c>
      <c r="S58" s="35"/>
    </row>
    <row r="59" spans="1:20" s="54" customFormat="1" ht="12.75" x14ac:dyDescent="0.2">
      <c r="A59" s="52" t="s">
        <v>284</v>
      </c>
      <c r="F59" s="35">
        <f t="shared" si="5"/>
        <v>0</v>
      </c>
      <c r="G59" s="36">
        <f t="shared" si="3"/>
        <v>0</v>
      </c>
      <c r="K59" s="35">
        <f t="shared" si="6"/>
        <v>0</v>
      </c>
      <c r="L59" s="36">
        <f t="shared" si="4"/>
        <v>0</v>
      </c>
      <c r="S59" s="35"/>
    </row>
    <row r="60" spans="1:20" s="54" customFormat="1" ht="12.75" x14ac:dyDescent="0.2">
      <c r="A60" s="52" t="s">
        <v>285</v>
      </c>
      <c r="F60" s="35">
        <f t="shared" si="5"/>
        <v>0</v>
      </c>
      <c r="G60" s="36">
        <f t="shared" si="3"/>
        <v>0</v>
      </c>
      <c r="K60" s="35">
        <f t="shared" si="6"/>
        <v>0</v>
      </c>
      <c r="L60" s="36">
        <f t="shared" si="4"/>
        <v>0</v>
      </c>
      <c r="S60" s="35"/>
    </row>
    <row r="61" spans="1:20" s="54" customFormat="1" ht="12.75" x14ac:dyDescent="0.2">
      <c r="A61" s="52" t="s">
        <v>286</v>
      </c>
      <c r="F61" s="35">
        <f t="shared" si="5"/>
        <v>0</v>
      </c>
      <c r="G61" s="36">
        <f t="shared" si="3"/>
        <v>0</v>
      </c>
      <c r="K61" s="35">
        <f t="shared" si="6"/>
        <v>0</v>
      </c>
      <c r="L61" s="36">
        <f t="shared" si="4"/>
        <v>0</v>
      </c>
      <c r="S61" s="35"/>
    </row>
    <row r="62" spans="1:20" s="54" customFormat="1" ht="13.5" thickBot="1" x14ac:dyDescent="0.25">
      <c r="F62" s="37">
        <f>SUM(F51:F61)</f>
        <v>0</v>
      </c>
      <c r="G62" s="38">
        <f t="shared" si="3"/>
        <v>0</v>
      </c>
      <c r="K62" s="37">
        <f>SUM(K51:K61)</f>
        <v>0</v>
      </c>
      <c r="L62" s="38">
        <f t="shared" si="4"/>
        <v>0</v>
      </c>
      <c r="S62" s="35"/>
      <c r="T62" s="35"/>
    </row>
    <row r="63" spans="1:20" s="54" customFormat="1" ht="13.5" thickTop="1" x14ac:dyDescent="0.2"/>
    <row r="64" spans="1:20" s="54" customFormat="1" ht="13.5" thickBot="1" x14ac:dyDescent="0.25"/>
    <row r="65" spans="1:19" s="54" customFormat="1" ht="15.75" customHeight="1" thickBot="1" x14ac:dyDescent="0.25">
      <c r="G65" s="623" t="s">
        <v>336</v>
      </c>
      <c r="H65" s="624"/>
      <c r="I65" s="624"/>
      <c r="J65" s="624"/>
      <c r="K65" s="624"/>
      <c r="L65" s="625"/>
      <c r="M65" s="58"/>
      <c r="N65" s="58"/>
      <c r="O65" s="58"/>
      <c r="P65" s="58"/>
      <c r="Q65" s="58"/>
      <c r="R65" s="58"/>
      <c r="S65" s="58"/>
    </row>
    <row r="66" spans="1:19" s="54" customFormat="1" ht="12.75" x14ac:dyDescent="0.2"/>
    <row r="67" spans="1:19" s="54" customFormat="1" ht="12.75" x14ac:dyDescent="0.2">
      <c r="I67" s="60" t="s">
        <v>176</v>
      </c>
      <c r="K67" s="60" t="str">
        <f>F50</f>
        <v>FY2024</v>
      </c>
      <c r="L67" s="60" t="str">
        <f>K50</f>
        <v>FY2025</v>
      </c>
    </row>
    <row r="68" spans="1:19" s="54" customFormat="1" ht="12.75" x14ac:dyDescent="0.2">
      <c r="G68" s="196" t="s">
        <v>335</v>
      </c>
      <c r="H68" s="196"/>
      <c r="I68" s="197" t="s">
        <v>334</v>
      </c>
      <c r="K68" s="529">
        <v>0</v>
      </c>
      <c r="L68" s="529">
        <v>0</v>
      </c>
    </row>
    <row r="69" spans="1:19" s="54" customFormat="1" ht="12.75" x14ac:dyDescent="0.2">
      <c r="P69" s="65"/>
      <c r="Q69" s="65"/>
      <c r="R69" s="65"/>
      <c r="S69" s="284"/>
    </row>
    <row r="70" spans="1:19" ht="15" customHeight="1" x14ac:dyDescent="0.2">
      <c r="A70" s="626" t="s">
        <v>667</v>
      </c>
      <c r="B70" s="626"/>
      <c r="C70" s="626"/>
      <c r="D70" s="626"/>
      <c r="E70" s="626"/>
      <c r="F70" s="626"/>
      <c r="G70" s="626"/>
      <c r="H70" s="626"/>
      <c r="I70" s="626"/>
      <c r="J70" s="626"/>
      <c r="K70" s="626"/>
      <c r="L70" s="626"/>
      <c r="M70" s="279"/>
      <c r="N70" s="279"/>
      <c r="O70" s="279"/>
      <c r="P70" s="279"/>
    </row>
    <row r="71" spans="1:19" x14ac:dyDescent="0.2">
      <c r="A71" s="626"/>
      <c r="B71" s="626"/>
      <c r="C71" s="626"/>
      <c r="D71" s="626"/>
      <c r="E71" s="626"/>
      <c r="F71" s="626"/>
      <c r="G71" s="626"/>
      <c r="H71" s="626"/>
      <c r="I71" s="626"/>
      <c r="J71" s="626"/>
      <c r="K71" s="626"/>
      <c r="L71" s="626"/>
      <c r="M71" s="279"/>
      <c r="N71" s="279"/>
      <c r="O71" s="279"/>
      <c r="P71" s="279"/>
      <c r="S71" s="287"/>
    </row>
    <row r="72" spans="1:19" x14ac:dyDescent="0.2">
      <c r="A72" s="626"/>
      <c r="B72" s="626"/>
      <c r="C72" s="626"/>
      <c r="D72" s="626"/>
      <c r="E72" s="626"/>
      <c r="F72" s="626"/>
      <c r="G72" s="626"/>
      <c r="H72" s="626"/>
      <c r="I72" s="626"/>
      <c r="J72" s="626"/>
      <c r="K72" s="626"/>
      <c r="L72" s="626"/>
      <c r="M72" s="279"/>
      <c r="N72" s="279"/>
      <c r="O72" s="279"/>
      <c r="P72" s="279"/>
    </row>
    <row r="73" spans="1:19" x14ac:dyDescent="0.2">
      <c r="A73" s="626"/>
      <c r="B73" s="626"/>
      <c r="C73" s="626"/>
      <c r="D73" s="626"/>
      <c r="E73" s="626"/>
      <c r="F73" s="626"/>
      <c r="G73" s="626"/>
      <c r="H73" s="626"/>
      <c r="I73" s="626"/>
      <c r="J73" s="626"/>
      <c r="K73" s="626"/>
      <c r="L73" s="626"/>
      <c r="M73" s="279"/>
      <c r="N73" s="279"/>
      <c r="O73" s="279"/>
      <c r="P73" s="279"/>
    </row>
    <row r="74" spans="1:19" x14ac:dyDescent="0.2">
      <c r="A74" s="626"/>
      <c r="B74" s="626"/>
      <c r="C74" s="626"/>
      <c r="D74" s="626"/>
      <c r="E74" s="626"/>
      <c r="F74" s="626"/>
      <c r="G74" s="626"/>
      <c r="H74" s="626"/>
      <c r="I74" s="626"/>
      <c r="J74" s="626"/>
      <c r="K74" s="626"/>
      <c r="L74" s="626"/>
      <c r="M74" s="279"/>
      <c r="N74" s="279"/>
      <c r="O74" s="279"/>
      <c r="P74" s="279"/>
    </row>
    <row r="75" spans="1:19" x14ac:dyDescent="0.2">
      <c r="A75" s="279"/>
      <c r="B75" s="279"/>
      <c r="C75" s="279"/>
      <c r="D75" s="279"/>
      <c r="E75" s="279"/>
      <c r="F75" s="279"/>
      <c r="G75" s="279"/>
      <c r="H75" s="279"/>
      <c r="I75" s="279"/>
      <c r="J75" s="279"/>
      <c r="K75" s="279"/>
      <c r="L75" s="279"/>
      <c r="M75" s="279"/>
      <c r="N75" s="279"/>
      <c r="O75" s="279"/>
      <c r="P75" s="279"/>
    </row>
    <row r="76" spans="1:19" x14ac:dyDescent="0.2">
      <c r="A76" s="279"/>
      <c r="B76" s="279"/>
      <c r="C76" s="279"/>
      <c r="D76" s="279"/>
      <c r="E76" s="279"/>
      <c r="F76" s="279"/>
      <c r="G76" s="279"/>
      <c r="H76" s="279"/>
      <c r="I76" s="279"/>
      <c r="J76" s="279"/>
      <c r="K76" s="279"/>
      <c r="L76" s="279"/>
      <c r="M76" s="279"/>
      <c r="N76" s="279"/>
      <c r="O76" s="279"/>
      <c r="P76" s="279"/>
    </row>
  </sheetData>
  <sheetProtection algorithmName="SHA-512" hashValue="NhqTU39aQS2EjOXMQKReArloTj80YvfAAhQBPEZOkW1YN3YZLqmBM1KRKAV/jKuM3kFwZnvoGqQlvmmwE/Y2kw==" saltValue="4Y7mGhzkRaOLc2FGkEi5hQ==" spinCount="100000" sheet="1" objects="1" scenarios="1"/>
  <protectedRanges>
    <protectedRange sqref="G9:H26 G28:H45 L9:L26 L28:L45" name="Range2"/>
    <protectedRange sqref="G9:H26 G28:H45 L9:L26 L28:L45" name="Range1"/>
  </protectedRanges>
  <mergeCells count="7">
    <mergeCell ref="G65:L65"/>
    <mergeCell ref="A70:L74"/>
    <mergeCell ref="N1:S1"/>
    <mergeCell ref="K49:L49"/>
    <mergeCell ref="F49:G49"/>
    <mergeCell ref="D6:G6"/>
    <mergeCell ref="I6:L6"/>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S76"/>
  <sheetViews>
    <sheetView workbookViewId="0">
      <pane xSplit="2" ySplit="8" topLeftCell="C9" activePane="bottomRight" state="frozenSplit"/>
      <selection pane="topRight" activeCell="C1" sqref="C1"/>
      <selection pane="bottomLeft" activeCell="A8" sqref="A8"/>
      <selection pane="bottomRight" activeCell="N17" sqref="N17"/>
    </sheetView>
  </sheetViews>
  <sheetFormatPr defaultColWidth="8.88671875" defaultRowHeight="15" x14ac:dyDescent="0.2"/>
  <cols>
    <col min="1" max="1" width="18" style="34" customWidth="1"/>
    <col min="2" max="2" width="23.33203125" style="34" customWidth="1"/>
    <col min="3" max="3" width="1.88671875" style="34" customWidth="1"/>
    <col min="4" max="4" width="13.21875" style="34" customWidth="1"/>
    <col min="5" max="5" width="1.88671875" style="34" customWidth="1"/>
    <col min="6" max="6" width="13.21875" style="34" customWidth="1"/>
    <col min="7" max="7" width="12.5546875" style="34" customWidth="1"/>
    <col min="8" max="8" width="1.77734375" style="34" customWidth="1"/>
    <col min="9" max="9" width="11.6640625" style="34" customWidth="1"/>
    <col min="10" max="10" width="1.77734375" style="34" customWidth="1"/>
    <col min="11" max="11" width="12.21875" style="34" customWidth="1"/>
    <col min="12" max="12" width="11" style="34" customWidth="1"/>
    <col min="13" max="13" width="1.5546875" style="34" customWidth="1"/>
    <col min="14" max="14" width="8" style="34" bestFit="1" customWidth="1"/>
    <col min="15" max="16" width="8.77734375" style="34" bestFit="1" customWidth="1"/>
    <col min="17" max="17" width="1.109375" style="34" customWidth="1"/>
    <col min="18" max="18" width="3.77734375" style="34" customWidth="1"/>
    <col min="19" max="19" width="8.77734375" style="34" bestFit="1" customWidth="1"/>
    <col min="20" max="16384" width="8.88671875" style="34"/>
  </cols>
  <sheetData>
    <row r="1" spans="1:19" ht="30.75" thickBot="1" x14ac:dyDescent="0.45">
      <c r="N1" s="627" t="s">
        <v>133</v>
      </c>
      <c r="O1" s="628"/>
      <c r="P1" s="628"/>
      <c r="Q1" s="628"/>
      <c r="R1" s="628"/>
      <c r="S1" s="629"/>
    </row>
    <row r="2" spans="1:19" x14ac:dyDescent="0.2">
      <c r="A2" s="34" t="s">
        <v>386</v>
      </c>
    </row>
    <row r="3" spans="1:19" x14ac:dyDescent="0.2">
      <c r="A3" s="34" t="s">
        <v>361</v>
      </c>
    </row>
    <row r="4" spans="1:19" ht="18" x14ac:dyDescent="0.25">
      <c r="A4" s="21" t="s">
        <v>16</v>
      </c>
    </row>
    <row r="5" spans="1:19" ht="18.75" thickBot="1" x14ac:dyDescent="0.3">
      <c r="A5" s="21" t="s">
        <v>378</v>
      </c>
    </row>
    <row r="6" spans="1:19" s="54" customFormat="1" ht="15" customHeight="1" thickBot="1" x14ac:dyDescent="0.25">
      <c r="A6" s="58"/>
      <c r="B6" s="58"/>
      <c r="C6" s="58"/>
      <c r="D6" s="623" t="str">
        <f>'OPEB Contr Input - LEA'!D6</f>
        <v>FY2024</v>
      </c>
      <c r="E6" s="624"/>
      <c r="F6" s="624"/>
      <c r="G6" s="625"/>
      <c r="H6" s="61"/>
      <c r="I6" s="623" t="str">
        <f>'OPEB Contr Input - LEA'!I6</f>
        <v>FY2025</v>
      </c>
      <c r="J6" s="624"/>
      <c r="K6" s="624"/>
      <c r="L6" s="625"/>
      <c r="M6" s="58"/>
      <c r="N6" s="58"/>
      <c r="O6" s="58"/>
      <c r="P6" s="58"/>
      <c r="Q6" s="58"/>
      <c r="R6" s="58"/>
      <c r="S6" s="61"/>
    </row>
    <row r="7" spans="1:19" s="54" customFormat="1" ht="12.75" x14ac:dyDescent="0.2">
      <c r="A7" s="59" t="s">
        <v>20</v>
      </c>
      <c r="B7" s="59" t="s">
        <v>21</v>
      </c>
      <c r="C7" s="58"/>
      <c r="D7" s="62" t="s">
        <v>382</v>
      </c>
      <c r="E7" s="62"/>
      <c r="F7" s="62" t="s">
        <v>304</v>
      </c>
      <c r="G7" s="62" t="s">
        <v>5</v>
      </c>
      <c r="H7" s="62"/>
      <c r="I7" s="62" t="s">
        <v>382</v>
      </c>
      <c r="J7" s="62"/>
      <c r="K7" s="62" t="s">
        <v>304</v>
      </c>
      <c r="L7" s="62" t="s">
        <v>5</v>
      </c>
      <c r="M7" s="58"/>
      <c r="N7" s="58"/>
      <c r="S7" s="61"/>
    </row>
    <row r="8" spans="1:19" s="54" customFormat="1" ht="12.75" x14ac:dyDescent="0.2"/>
    <row r="9" spans="1:19" s="54" customFormat="1" ht="12.75" x14ac:dyDescent="0.2">
      <c r="A9" s="55" t="s">
        <v>135</v>
      </c>
      <c r="B9" s="54" t="s">
        <v>22</v>
      </c>
      <c r="C9" s="55"/>
      <c r="D9" s="292">
        <v>0</v>
      </c>
      <c r="E9" s="55"/>
      <c r="F9" s="292">
        <v>0</v>
      </c>
      <c r="G9" s="56">
        <f>D9+F9</f>
        <v>0</v>
      </c>
      <c r="H9" s="56"/>
      <c r="I9" s="292">
        <v>0</v>
      </c>
      <c r="J9" s="56"/>
      <c r="K9" s="292">
        <v>0</v>
      </c>
      <c r="L9" s="56">
        <f t="shared" ref="L9:L26" si="0">I9+K9</f>
        <v>0</v>
      </c>
      <c r="S9" s="194"/>
    </row>
    <row r="10" spans="1:19" s="54" customFormat="1" ht="12.75" x14ac:dyDescent="0.2">
      <c r="A10" s="54" t="s">
        <v>136</v>
      </c>
      <c r="B10" s="54" t="s">
        <v>23</v>
      </c>
      <c r="D10" s="292">
        <v>0</v>
      </c>
      <c r="F10" s="292">
        <v>0</v>
      </c>
      <c r="G10" s="56">
        <f t="shared" ref="G10:G26" si="1">D10+F10</f>
        <v>0</v>
      </c>
      <c r="H10" s="56"/>
      <c r="I10" s="292">
        <v>0</v>
      </c>
      <c r="J10" s="56"/>
      <c r="K10" s="292">
        <v>0</v>
      </c>
      <c r="L10" s="56">
        <f t="shared" si="0"/>
        <v>0</v>
      </c>
      <c r="S10" s="194"/>
    </row>
    <row r="11" spans="1:19" s="54" customFormat="1" ht="12.75" x14ac:dyDescent="0.2">
      <c r="A11" s="54" t="s">
        <v>137</v>
      </c>
      <c r="B11" s="54" t="s">
        <v>24</v>
      </c>
      <c r="D11" s="292">
        <v>0</v>
      </c>
      <c r="F11" s="292">
        <v>0</v>
      </c>
      <c r="G11" s="56">
        <f t="shared" si="1"/>
        <v>0</v>
      </c>
      <c r="H11" s="56"/>
      <c r="I11" s="292">
        <v>0</v>
      </c>
      <c r="J11" s="56"/>
      <c r="K11" s="292">
        <v>0</v>
      </c>
      <c r="L11" s="56">
        <f t="shared" si="0"/>
        <v>0</v>
      </c>
      <c r="S11" s="194"/>
    </row>
    <row r="12" spans="1:19" s="54" customFormat="1" ht="12.75" x14ac:dyDescent="0.2">
      <c r="A12" s="55" t="s">
        <v>138</v>
      </c>
      <c r="B12" s="54" t="s">
        <v>25</v>
      </c>
      <c r="C12" s="55"/>
      <c r="D12" s="292">
        <v>0</v>
      </c>
      <c r="E12" s="55"/>
      <c r="F12" s="292">
        <v>0</v>
      </c>
      <c r="G12" s="56">
        <f t="shared" si="1"/>
        <v>0</v>
      </c>
      <c r="H12" s="56"/>
      <c r="I12" s="292">
        <v>0</v>
      </c>
      <c r="J12" s="56"/>
      <c r="K12" s="292">
        <v>0</v>
      </c>
      <c r="L12" s="56">
        <f t="shared" si="0"/>
        <v>0</v>
      </c>
      <c r="S12" s="194"/>
    </row>
    <row r="13" spans="1:19" s="54" customFormat="1" ht="12.75" x14ac:dyDescent="0.2">
      <c r="A13" s="54" t="s">
        <v>139</v>
      </c>
      <c r="B13" s="54" t="s">
        <v>26</v>
      </c>
      <c r="D13" s="292">
        <v>0</v>
      </c>
      <c r="F13" s="292">
        <v>0</v>
      </c>
      <c r="G13" s="56">
        <f t="shared" si="1"/>
        <v>0</v>
      </c>
      <c r="H13" s="56"/>
      <c r="I13" s="292">
        <v>0</v>
      </c>
      <c r="J13" s="56"/>
      <c r="K13" s="292">
        <v>0</v>
      </c>
      <c r="L13" s="56">
        <f t="shared" si="0"/>
        <v>0</v>
      </c>
      <c r="S13" s="194"/>
    </row>
    <row r="14" spans="1:19" s="54" customFormat="1" ht="12.75" x14ac:dyDescent="0.2">
      <c r="A14" s="54" t="s">
        <v>140</v>
      </c>
      <c r="B14" s="54" t="s">
        <v>27</v>
      </c>
      <c r="D14" s="292">
        <v>0</v>
      </c>
      <c r="F14" s="292">
        <v>0</v>
      </c>
      <c r="G14" s="56">
        <f t="shared" si="1"/>
        <v>0</v>
      </c>
      <c r="H14" s="56"/>
      <c r="I14" s="292">
        <v>0</v>
      </c>
      <c r="J14" s="56"/>
      <c r="K14" s="292">
        <v>0</v>
      </c>
      <c r="L14" s="56">
        <f t="shared" si="0"/>
        <v>0</v>
      </c>
      <c r="S14" s="194"/>
    </row>
    <row r="15" spans="1:19" s="54" customFormat="1" ht="12.75" x14ac:dyDescent="0.2">
      <c r="A15" s="54" t="s">
        <v>141</v>
      </c>
      <c r="B15" s="54" t="s">
        <v>28</v>
      </c>
      <c r="D15" s="292">
        <v>0</v>
      </c>
      <c r="F15" s="292">
        <v>0</v>
      </c>
      <c r="G15" s="56">
        <f t="shared" si="1"/>
        <v>0</v>
      </c>
      <c r="H15" s="56"/>
      <c r="I15" s="292">
        <v>0</v>
      </c>
      <c r="J15" s="56"/>
      <c r="K15" s="292">
        <v>0</v>
      </c>
      <c r="L15" s="56">
        <f t="shared" si="0"/>
        <v>0</v>
      </c>
      <c r="S15" s="194"/>
    </row>
    <row r="16" spans="1:19" s="54" customFormat="1" ht="12.75" x14ac:dyDescent="0.2">
      <c r="A16" s="54" t="s">
        <v>142</v>
      </c>
      <c r="B16" s="54" t="s">
        <v>29</v>
      </c>
      <c r="D16" s="292">
        <v>0</v>
      </c>
      <c r="F16" s="292">
        <v>0</v>
      </c>
      <c r="G16" s="56">
        <f t="shared" si="1"/>
        <v>0</v>
      </c>
      <c r="H16" s="56"/>
      <c r="I16" s="292">
        <v>0</v>
      </c>
      <c r="J16" s="56"/>
      <c r="K16" s="292">
        <v>0</v>
      </c>
      <c r="L16" s="56">
        <f t="shared" si="0"/>
        <v>0</v>
      </c>
      <c r="S16" s="194"/>
    </row>
    <row r="17" spans="1:19" s="54" customFormat="1" ht="12.75" x14ac:dyDescent="0.2">
      <c r="A17" s="54" t="s">
        <v>143</v>
      </c>
      <c r="B17" s="54" t="s">
        <v>30</v>
      </c>
      <c r="D17" s="292">
        <v>0</v>
      </c>
      <c r="F17" s="292">
        <v>0</v>
      </c>
      <c r="G17" s="56">
        <f t="shared" si="1"/>
        <v>0</v>
      </c>
      <c r="H17" s="56"/>
      <c r="I17" s="292">
        <v>0</v>
      </c>
      <c r="J17" s="56"/>
      <c r="K17" s="292">
        <v>0</v>
      </c>
      <c r="L17" s="56">
        <f t="shared" si="0"/>
        <v>0</v>
      </c>
      <c r="S17" s="194"/>
    </row>
    <row r="18" spans="1:19" s="54" customFormat="1" ht="12.75" x14ac:dyDescent="0.2">
      <c r="A18" s="54" t="s">
        <v>144</v>
      </c>
      <c r="B18" s="54" t="s">
        <v>31</v>
      </c>
      <c r="D18" s="292">
        <v>0</v>
      </c>
      <c r="F18" s="292"/>
      <c r="G18" s="56">
        <f t="shared" si="1"/>
        <v>0</v>
      </c>
      <c r="H18" s="56"/>
      <c r="I18" s="292">
        <v>0</v>
      </c>
      <c r="J18" s="56"/>
      <c r="K18" s="292">
        <v>0</v>
      </c>
      <c r="L18" s="56">
        <f t="shared" si="0"/>
        <v>0</v>
      </c>
      <c r="S18" s="194"/>
    </row>
    <row r="19" spans="1:19" s="54" customFormat="1" ht="12.75" x14ac:dyDescent="0.2">
      <c r="A19" s="54" t="s">
        <v>145</v>
      </c>
      <c r="B19" s="54" t="s">
        <v>32</v>
      </c>
      <c r="D19" s="292">
        <v>0</v>
      </c>
      <c r="F19" s="292"/>
      <c r="G19" s="56">
        <f t="shared" si="1"/>
        <v>0</v>
      </c>
      <c r="H19" s="56"/>
      <c r="I19" s="292">
        <v>0</v>
      </c>
      <c r="J19" s="56"/>
      <c r="K19" s="292">
        <v>0</v>
      </c>
      <c r="L19" s="56">
        <f t="shared" si="0"/>
        <v>0</v>
      </c>
      <c r="S19" s="194"/>
    </row>
    <row r="20" spans="1:19" s="54" customFormat="1" ht="12.75" x14ac:dyDescent="0.2">
      <c r="A20" s="54" t="s">
        <v>146</v>
      </c>
      <c r="B20" s="54" t="s">
        <v>33</v>
      </c>
      <c r="D20" s="292">
        <v>0</v>
      </c>
      <c r="F20" s="292">
        <v>0</v>
      </c>
      <c r="G20" s="56">
        <f t="shared" si="1"/>
        <v>0</v>
      </c>
      <c r="H20" s="56"/>
      <c r="I20" s="292">
        <v>0</v>
      </c>
      <c r="J20" s="56"/>
      <c r="K20" s="292">
        <v>0</v>
      </c>
      <c r="L20" s="56">
        <f t="shared" si="0"/>
        <v>0</v>
      </c>
      <c r="S20" s="194"/>
    </row>
    <row r="21" spans="1:19" s="54" customFormat="1" ht="12.75" x14ac:dyDescent="0.2">
      <c r="A21" s="54" t="s">
        <v>147</v>
      </c>
      <c r="B21" s="54" t="s">
        <v>34</v>
      </c>
      <c r="D21" s="292">
        <v>0</v>
      </c>
      <c r="F21" s="292">
        <v>0</v>
      </c>
      <c r="G21" s="56">
        <f t="shared" si="1"/>
        <v>0</v>
      </c>
      <c r="H21" s="56"/>
      <c r="I21" s="292">
        <v>0</v>
      </c>
      <c r="J21" s="56"/>
      <c r="K21" s="292">
        <v>0</v>
      </c>
      <c r="L21" s="56">
        <f t="shared" si="0"/>
        <v>0</v>
      </c>
      <c r="S21" s="194"/>
    </row>
    <row r="22" spans="1:19" s="54" customFormat="1" ht="12.75" x14ac:dyDescent="0.2">
      <c r="A22" s="54" t="s">
        <v>148</v>
      </c>
      <c r="B22" s="54" t="s">
        <v>35</v>
      </c>
      <c r="D22" s="292">
        <v>0</v>
      </c>
      <c r="F22" s="292">
        <v>0</v>
      </c>
      <c r="G22" s="56">
        <f t="shared" si="1"/>
        <v>0</v>
      </c>
      <c r="H22" s="56"/>
      <c r="I22" s="292">
        <v>0</v>
      </c>
      <c r="J22" s="56"/>
      <c r="K22" s="292">
        <v>0</v>
      </c>
      <c r="L22" s="56">
        <f t="shared" si="0"/>
        <v>0</v>
      </c>
      <c r="S22" s="194"/>
    </row>
    <row r="23" spans="1:19" s="54" customFormat="1" ht="12.75" x14ac:dyDescent="0.2">
      <c r="A23" s="54" t="s">
        <v>149</v>
      </c>
      <c r="B23" s="54" t="s">
        <v>36</v>
      </c>
      <c r="D23" s="292">
        <v>0</v>
      </c>
      <c r="F23" s="292">
        <v>0</v>
      </c>
      <c r="G23" s="56">
        <f t="shared" si="1"/>
        <v>0</v>
      </c>
      <c r="H23" s="56"/>
      <c r="I23" s="292">
        <v>0</v>
      </c>
      <c r="J23" s="56"/>
      <c r="K23" s="292">
        <v>0</v>
      </c>
      <c r="L23" s="56">
        <f t="shared" si="0"/>
        <v>0</v>
      </c>
      <c r="S23" s="194"/>
    </row>
    <row r="24" spans="1:19" s="54" customFormat="1" ht="12.75" x14ac:dyDescent="0.2">
      <c r="A24" s="54" t="s">
        <v>150</v>
      </c>
      <c r="B24" s="54" t="s">
        <v>37</v>
      </c>
      <c r="D24" s="292">
        <v>0</v>
      </c>
      <c r="F24" s="292">
        <v>0</v>
      </c>
      <c r="G24" s="56">
        <f t="shared" si="1"/>
        <v>0</v>
      </c>
      <c r="H24" s="56"/>
      <c r="I24" s="292">
        <v>0</v>
      </c>
      <c r="J24" s="56"/>
      <c r="K24" s="292">
        <v>0</v>
      </c>
      <c r="L24" s="56">
        <f t="shared" si="0"/>
        <v>0</v>
      </c>
      <c r="S24" s="194"/>
    </row>
    <row r="25" spans="1:19" s="54" customFormat="1" ht="12.75" x14ac:dyDescent="0.2">
      <c r="A25" s="54" t="s">
        <v>151</v>
      </c>
      <c r="B25" s="54" t="s">
        <v>38</v>
      </c>
      <c r="D25" s="292">
        <v>0</v>
      </c>
      <c r="F25" s="292">
        <v>0</v>
      </c>
      <c r="G25" s="56">
        <f t="shared" si="1"/>
        <v>0</v>
      </c>
      <c r="H25" s="56"/>
      <c r="I25" s="292">
        <v>0</v>
      </c>
      <c r="J25" s="56"/>
      <c r="K25" s="292">
        <v>0</v>
      </c>
      <c r="L25" s="56">
        <f t="shared" si="0"/>
        <v>0</v>
      </c>
      <c r="S25" s="194"/>
    </row>
    <row r="26" spans="1:19" s="54" customFormat="1" ht="12.75" x14ac:dyDescent="0.2">
      <c r="A26" s="54" t="s">
        <v>152</v>
      </c>
      <c r="B26" s="54" t="s">
        <v>39</v>
      </c>
      <c r="D26" s="292">
        <v>0</v>
      </c>
      <c r="F26" s="292">
        <v>0</v>
      </c>
      <c r="G26" s="56">
        <f t="shared" si="1"/>
        <v>0</v>
      </c>
      <c r="H26" s="56"/>
      <c r="I26" s="292">
        <v>0</v>
      </c>
      <c r="J26" s="56"/>
      <c r="K26" s="292">
        <v>0</v>
      </c>
      <c r="L26" s="56">
        <f t="shared" si="0"/>
        <v>0</v>
      </c>
      <c r="S26" s="194"/>
    </row>
    <row r="27" spans="1:19" s="54" customFormat="1" ht="12.75" x14ac:dyDescent="0.2">
      <c r="G27" s="56"/>
      <c r="H27" s="56"/>
      <c r="I27" s="56"/>
      <c r="J27" s="56"/>
      <c r="K27" s="56"/>
      <c r="L27" s="56"/>
      <c r="S27" s="194"/>
    </row>
    <row r="28" spans="1:19" s="54" customFormat="1" ht="12.75" x14ac:dyDescent="0.2">
      <c r="A28" s="55" t="s">
        <v>153</v>
      </c>
      <c r="B28" s="54" t="s">
        <v>22</v>
      </c>
      <c r="C28" s="55"/>
      <c r="D28" s="292">
        <v>0</v>
      </c>
      <c r="E28" s="55"/>
      <c r="F28" s="292">
        <v>0</v>
      </c>
      <c r="G28" s="56">
        <f t="shared" ref="G28:G45" si="2">D28+F28</f>
        <v>0</v>
      </c>
      <c r="H28" s="56"/>
      <c r="I28" s="292">
        <v>0</v>
      </c>
      <c r="J28" s="56"/>
      <c r="K28" s="292">
        <v>0</v>
      </c>
      <c r="L28" s="56">
        <f t="shared" ref="L28:L45" si="3">I28+K28</f>
        <v>0</v>
      </c>
      <c r="S28" s="194"/>
    </row>
    <row r="29" spans="1:19" s="54" customFormat="1" ht="12.75" x14ac:dyDescent="0.2">
      <c r="A29" s="54" t="s">
        <v>154</v>
      </c>
      <c r="B29" s="54" t="s">
        <v>23</v>
      </c>
      <c r="D29" s="292">
        <v>0</v>
      </c>
      <c r="F29" s="292">
        <v>0</v>
      </c>
      <c r="G29" s="56">
        <f t="shared" si="2"/>
        <v>0</v>
      </c>
      <c r="H29" s="56"/>
      <c r="I29" s="292">
        <v>0</v>
      </c>
      <c r="J29" s="56"/>
      <c r="K29" s="292">
        <v>0</v>
      </c>
      <c r="L29" s="56">
        <f t="shared" si="3"/>
        <v>0</v>
      </c>
      <c r="S29" s="194"/>
    </row>
    <row r="30" spans="1:19" s="54" customFormat="1" ht="12.75" x14ac:dyDescent="0.2">
      <c r="A30" s="54" t="s">
        <v>155</v>
      </c>
      <c r="B30" s="54" t="s">
        <v>24</v>
      </c>
      <c r="D30" s="292">
        <v>0</v>
      </c>
      <c r="F30" s="292">
        <v>0</v>
      </c>
      <c r="G30" s="56">
        <f t="shared" si="2"/>
        <v>0</v>
      </c>
      <c r="H30" s="56"/>
      <c r="I30" s="292">
        <v>0</v>
      </c>
      <c r="J30" s="56"/>
      <c r="K30" s="292">
        <v>0</v>
      </c>
      <c r="L30" s="56">
        <f t="shared" si="3"/>
        <v>0</v>
      </c>
      <c r="S30" s="194"/>
    </row>
    <row r="31" spans="1:19" s="54" customFormat="1" ht="12.75" x14ac:dyDescent="0.2">
      <c r="A31" s="55" t="s">
        <v>156</v>
      </c>
      <c r="B31" s="54" t="s">
        <v>25</v>
      </c>
      <c r="C31" s="55"/>
      <c r="D31" s="292">
        <v>0</v>
      </c>
      <c r="E31" s="55"/>
      <c r="F31" s="292">
        <v>0</v>
      </c>
      <c r="G31" s="56">
        <f t="shared" si="2"/>
        <v>0</v>
      </c>
      <c r="H31" s="56"/>
      <c r="I31" s="292">
        <v>0</v>
      </c>
      <c r="J31" s="56"/>
      <c r="K31" s="292">
        <v>0</v>
      </c>
      <c r="L31" s="56">
        <f t="shared" si="3"/>
        <v>0</v>
      </c>
      <c r="S31" s="194"/>
    </row>
    <row r="32" spans="1:19" s="54" customFormat="1" ht="12.75" x14ac:dyDescent="0.2">
      <c r="A32" s="54" t="s">
        <v>157</v>
      </c>
      <c r="B32" s="54" t="s">
        <v>26</v>
      </c>
      <c r="D32" s="292">
        <v>0</v>
      </c>
      <c r="F32" s="292">
        <v>0</v>
      </c>
      <c r="G32" s="56">
        <f t="shared" si="2"/>
        <v>0</v>
      </c>
      <c r="H32" s="56"/>
      <c r="I32" s="292">
        <v>0</v>
      </c>
      <c r="J32" s="56"/>
      <c r="K32" s="292">
        <v>0</v>
      </c>
      <c r="L32" s="56">
        <f t="shared" si="3"/>
        <v>0</v>
      </c>
      <c r="S32" s="194"/>
    </row>
    <row r="33" spans="1:19" s="54" customFormat="1" ht="12.75" x14ac:dyDescent="0.2">
      <c r="A33" s="54" t="s">
        <v>158</v>
      </c>
      <c r="B33" s="54" t="s">
        <v>27</v>
      </c>
      <c r="D33" s="292">
        <v>0</v>
      </c>
      <c r="F33" s="292">
        <v>0</v>
      </c>
      <c r="G33" s="56">
        <f t="shared" si="2"/>
        <v>0</v>
      </c>
      <c r="H33" s="56"/>
      <c r="I33" s="292">
        <v>0</v>
      </c>
      <c r="J33" s="56"/>
      <c r="K33" s="292">
        <v>0</v>
      </c>
      <c r="L33" s="56">
        <f t="shared" si="3"/>
        <v>0</v>
      </c>
      <c r="S33" s="194"/>
    </row>
    <row r="34" spans="1:19" s="54" customFormat="1" ht="12.75" x14ac:dyDescent="0.2">
      <c r="A34" s="54" t="s">
        <v>159</v>
      </c>
      <c r="B34" s="54" t="s">
        <v>28</v>
      </c>
      <c r="D34" s="292">
        <v>0</v>
      </c>
      <c r="F34" s="292">
        <v>0</v>
      </c>
      <c r="G34" s="56">
        <f t="shared" si="2"/>
        <v>0</v>
      </c>
      <c r="H34" s="56"/>
      <c r="I34" s="292">
        <v>0</v>
      </c>
      <c r="J34" s="56"/>
      <c r="K34" s="292">
        <v>0</v>
      </c>
      <c r="L34" s="56">
        <f t="shared" si="3"/>
        <v>0</v>
      </c>
      <c r="S34" s="194"/>
    </row>
    <row r="35" spans="1:19" s="54" customFormat="1" ht="12.75" x14ac:dyDescent="0.2">
      <c r="A35" s="54" t="s">
        <v>160</v>
      </c>
      <c r="B35" s="54" t="s">
        <v>29</v>
      </c>
      <c r="D35" s="292">
        <v>0</v>
      </c>
      <c r="F35" s="292">
        <v>0</v>
      </c>
      <c r="G35" s="56">
        <f t="shared" si="2"/>
        <v>0</v>
      </c>
      <c r="H35" s="56"/>
      <c r="I35" s="292">
        <v>0</v>
      </c>
      <c r="J35" s="56"/>
      <c r="K35" s="292">
        <v>0</v>
      </c>
      <c r="L35" s="56">
        <f t="shared" si="3"/>
        <v>0</v>
      </c>
      <c r="S35" s="194"/>
    </row>
    <row r="36" spans="1:19" s="54" customFormat="1" ht="12.75" x14ac:dyDescent="0.2">
      <c r="A36" s="54" t="s">
        <v>161</v>
      </c>
      <c r="B36" s="54" t="s">
        <v>30</v>
      </c>
      <c r="D36" s="292">
        <v>0</v>
      </c>
      <c r="F36" s="292">
        <v>0</v>
      </c>
      <c r="G36" s="56">
        <f t="shared" si="2"/>
        <v>0</v>
      </c>
      <c r="H36" s="56"/>
      <c r="I36" s="292">
        <v>0</v>
      </c>
      <c r="J36" s="56"/>
      <c r="K36" s="292">
        <v>0</v>
      </c>
      <c r="L36" s="56">
        <f t="shared" si="3"/>
        <v>0</v>
      </c>
      <c r="S36" s="194"/>
    </row>
    <row r="37" spans="1:19" s="54" customFormat="1" ht="12.75" x14ac:dyDescent="0.2">
      <c r="A37" s="54" t="s">
        <v>162</v>
      </c>
      <c r="B37" s="54" t="s">
        <v>31</v>
      </c>
      <c r="D37" s="292">
        <v>0</v>
      </c>
      <c r="F37" s="292">
        <v>0</v>
      </c>
      <c r="G37" s="56">
        <f t="shared" si="2"/>
        <v>0</v>
      </c>
      <c r="H37" s="56"/>
      <c r="I37" s="292">
        <v>0</v>
      </c>
      <c r="J37" s="56"/>
      <c r="K37" s="292">
        <v>0</v>
      </c>
      <c r="L37" s="56">
        <f t="shared" si="3"/>
        <v>0</v>
      </c>
      <c r="S37" s="194"/>
    </row>
    <row r="38" spans="1:19" s="54" customFormat="1" ht="12.75" x14ac:dyDescent="0.2">
      <c r="A38" s="54" t="s">
        <v>163</v>
      </c>
      <c r="B38" s="54" t="s">
        <v>32</v>
      </c>
      <c r="D38" s="292">
        <v>0</v>
      </c>
      <c r="F38" s="292">
        <v>0</v>
      </c>
      <c r="G38" s="56">
        <f t="shared" si="2"/>
        <v>0</v>
      </c>
      <c r="H38" s="56"/>
      <c r="I38" s="292">
        <v>0</v>
      </c>
      <c r="J38" s="56"/>
      <c r="K38" s="292">
        <v>0</v>
      </c>
      <c r="L38" s="56">
        <f t="shared" si="3"/>
        <v>0</v>
      </c>
      <c r="S38" s="194"/>
    </row>
    <row r="39" spans="1:19" s="54" customFormat="1" ht="12.75" x14ac:dyDescent="0.2">
      <c r="A39" s="54" t="s">
        <v>164</v>
      </c>
      <c r="B39" s="54" t="s">
        <v>33</v>
      </c>
      <c r="D39" s="292">
        <v>0</v>
      </c>
      <c r="F39" s="292">
        <v>0</v>
      </c>
      <c r="G39" s="56">
        <f t="shared" si="2"/>
        <v>0</v>
      </c>
      <c r="H39" s="56"/>
      <c r="I39" s="292">
        <v>0</v>
      </c>
      <c r="J39" s="56"/>
      <c r="K39" s="292">
        <v>0</v>
      </c>
      <c r="L39" s="56">
        <f t="shared" si="3"/>
        <v>0</v>
      </c>
      <c r="S39" s="194"/>
    </row>
    <row r="40" spans="1:19" s="54" customFormat="1" ht="12.75" x14ac:dyDescent="0.2">
      <c r="A40" s="54" t="s">
        <v>165</v>
      </c>
      <c r="B40" s="54" t="s">
        <v>34</v>
      </c>
      <c r="D40" s="292">
        <v>0</v>
      </c>
      <c r="F40" s="292">
        <v>0</v>
      </c>
      <c r="G40" s="56">
        <f t="shared" si="2"/>
        <v>0</v>
      </c>
      <c r="H40" s="56"/>
      <c r="I40" s="292">
        <v>0</v>
      </c>
      <c r="J40" s="56"/>
      <c r="K40" s="292">
        <v>0</v>
      </c>
      <c r="L40" s="56">
        <f t="shared" si="3"/>
        <v>0</v>
      </c>
      <c r="S40" s="194"/>
    </row>
    <row r="41" spans="1:19" s="54" customFormat="1" ht="12.75" x14ac:dyDescent="0.2">
      <c r="A41" s="54" t="s">
        <v>166</v>
      </c>
      <c r="B41" s="54" t="s">
        <v>35</v>
      </c>
      <c r="D41" s="292">
        <v>0</v>
      </c>
      <c r="F41" s="292">
        <v>0</v>
      </c>
      <c r="G41" s="56">
        <f t="shared" si="2"/>
        <v>0</v>
      </c>
      <c r="H41" s="56"/>
      <c r="I41" s="292">
        <v>0</v>
      </c>
      <c r="J41" s="56"/>
      <c r="K41" s="292">
        <v>0</v>
      </c>
      <c r="L41" s="56">
        <f t="shared" si="3"/>
        <v>0</v>
      </c>
      <c r="S41" s="194"/>
    </row>
    <row r="42" spans="1:19" s="54" customFormat="1" ht="12.75" x14ac:dyDescent="0.2">
      <c r="A42" s="54" t="s">
        <v>167</v>
      </c>
      <c r="B42" s="54" t="s">
        <v>36</v>
      </c>
      <c r="D42" s="292">
        <v>0</v>
      </c>
      <c r="F42" s="292">
        <v>0</v>
      </c>
      <c r="G42" s="56">
        <f t="shared" si="2"/>
        <v>0</v>
      </c>
      <c r="H42" s="56"/>
      <c r="I42" s="292">
        <v>0</v>
      </c>
      <c r="J42" s="56"/>
      <c r="K42" s="292">
        <v>0</v>
      </c>
      <c r="L42" s="56">
        <f t="shared" si="3"/>
        <v>0</v>
      </c>
      <c r="S42" s="194"/>
    </row>
    <row r="43" spans="1:19" s="54" customFormat="1" ht="12.75" x14ac:dyDescent="0.2">
      <c r="A43" s="54" t="s">
        <v>168</v>
      </c>
      <c r="B43" s="54" t="s">
        <v>37</v>
      </c>
      <c r="D43" s="292">
        <v>0</v>
      </c>
      <c r="F43" s="292">
        <v>0</v>
      </c>
      <c r="G43" s="56">
        <f t="shared" si="2"/>
        <v>0</v>
      </c>
      <c r="H43" s="56"/>
      <c r="I43" s="292">
        <v>0</v>
      </c>
      <c r="J43" s="56"/>
      <c r="K43" s="292">
        <v>0</v>
      </c>
      <c r="L43" s="56">
        <f t="shared" si="3"/>
        <v>0</v>
      </c>
      <c r="S43" s="194"/>
    </row>
    <row r="44" spans="1:19" s="54" customFormat="1" ht="12.75" x14ac:dyDescent="0.2">
      <c r="A44" s="54" t="s">
        <v>169</v>
      </c>
      <c r="B44" s="54" t="s">
        <v>38</v>
      </c>
      <c r="D44" s="292">
        <v>0</v>
      </c>
      <c r="F44" s="292">
        <v>0</v>
      </c>
      <c r="G44" s="56">
        <f t="shared" si="2"/>
        <v>0</v>
      </c>
      <c r="H44" s="56"/>
      <c r="I44" s="292">
        <v>0</v>
      </c>
      <c r="J44" s="56"/>
      <c r="K44" s="292">
        <v>0</v>
      </c>
      <c r="L44" s="56">
        <f t="shared" si="3"/>
        <v>0</v>
      </c>
      <c r="S44" s="194"/>
    </row>
    <row r="45" spans="1:19" s="54" customFormat="1" ht="12.75" x14ac:dyDescent="0.2">
      <c r="A45" s="54" t="s">
        <v>170</v>
      </c>
      <c r="B45" s="54" t="s">
        <v>39</v>
      </c>
      <c r="D45" s="292">
        <v>0</v>
      </c>
      <c r="F45" s="292">
        <v>0</v>
      </c>
      <c r="G45" s="56">
        <f t="shared" si="2"/>
        <v>0</v>
      </c>
      <c r="H45" s="56"/>
      <c r="I45" s="292">
        <v>0</v>
      </c>
      <c r="J45" s="56"/>
      <c r="K45" s="292">
        <v>0</v>
      </c>
      <c r="L45" s="56">
        <f t="shared" si="3"/>
        <v>0</v>
      </c>
      <c r="S45" s="194"/>
    </row>
    <row r="46" spans="1:19" s="54" customFormat="1" ht="13.5" thickBot="1" x14ac:dyDescent="0.25">
      <c r="B46" s="195"/>
      <c r="D46" s="293">
        <f>SUM(D9:D45)</f>
        <v>0</v>
      </c>
      <c r="F46" s="293">
        <f>SUM(F9:F45)</f>
        <v>0</v>
      </c>
      <c r="G46" s="37">
        <f>SUM(G9:G45)</f>
        <v>0</v>
      </c>
      <c r="I46" s="293">
        <f>SUM(I9:I45)</f>
        <v>0</v>
      </c>
      <c r="K46" s="293">
        <f>SUM(K9:K45)</f>
        <v>0</v>
      </c>
      <c r="L46" s="37">
        <f>SUM(L9:L45)</f>
        <v>0</v>
      </c>
      <c r="S46" s="35"/>
    </row>
    <row r="47" spans="1:19" s="54" customFormat="1" ht="13.5" thickTop="1" x14ac:dyDescent="0.2"/>
    <row r="48" spans="1:19" s="54" customFormat="1" ht="12.75" x14ac:dyDescent="0.2"/>
    <row r="49" spans="1:19" s="54" customFormat="1" ht="12.75" x14ac:dyDescent="0.2">
      <c r="A49" s="59" t="s">
        <v>40</v>
      </c>
      <c r="F49" s="630" t="s">
        <v>384</v>
      </c>
      <c r="G49" s="630"/>
      <c r="I49" s="294"/>
      <c r="J49" s="294"/>
      <c r="K49" s="630" t="s">
        <v>384</v>
      </c>
      <c r="L49" s="630"/>
      <c r="Q49" s="58"/>
      <c r="R49" s="58"/>
      <c r="S49" s="61"/>
    </row>
    <row r="50" spans="1:19" s="54" customFormat="1" ht="12.75" x14ac:dyDescent="0.2">
      <c r="F50" s="60" t="str">
        <f>D6</f>
        <v>FY2024</v>
      </c>
      <c r="G50" s="60" t="s">
        <v>41</v>
      </c>
      <c r="I50" s="61"/>
      <c r="J50" s="61"/>
      <c r="K50" s="60" t="str">
        <f>I6</f>
        <v>FY2025</v>
      </c>
      <c r="L50" s="60" t="s">
        <v>41</v>
      </c>
      <c r="Q50" s="58"/>
      <c r="R50" s="58"/>
      <c r="S50" s="61"/>
    </row>
    <row r="51" spans="1:19" s="54" customFormat="1" ht="12.75" x14ac:dyDescent="0.2">
      <c r="A51" s="52" t="s">
        <v>276</v>
      </c>
      <c r="F51" s="35">
        <f>G9+G10+G11+G12+G13+G14+G15+G16+G28+G29+G30+G31+G32+G33+G34+G35</f>
        <v>0</v>
      </c>
      <c r="G51" s="36">
        <f t="shared" ref="G51:G62" si="4">IF($F$62=0,0,F51/$F$62)</f>
        <v>0</v>
      </c>
      <c r="I51" s="35"/>
      <c r="J51" s="35"/>
      <c r="K51" s="35">
        <f>L9+L10+L11+L12+L13+L14+L15+L16+L28+L29+L30+L31+L32+L33+L34+L35</f>
        <v>0</v>
      </c>
      <c r="L51" s="36">
        <f t="shared" ref="L51:L62" si="5">IF($K$62=0,0,K51/$K$62)</f>
        <v>0</v>
      </c>
      <c r="S51" s="35"/>
    </row>
    <row r="52" spans="1:19" s="54" customFormat="1" ht="12.75" x14ac:dyDescent="0.2">
      <c r="A52" s="52" t="s">
        <v>277</v>
      </c>
      <c r="F52" s="35">
        <f t="shared" ref="F52:F61" si="6">G17+G36</f>
        <v>0</v>
      </c>
      <c r="G52" s="36">
        <f t="shared" si="4"/>
        <v>0</v>
      </c>
      <c r="I52" s="35"/>
      <c r="J52" s="35"/>
      <c r="K52" s="35">
        <f t="shared" ref="K52:K61" si="7">L17+L36</f>
        <v>0</v>
      </c>
      <c r="L52" s="36">
        <f t="shared" si="5"/>
        <v>0</v>
      </c>
      <c r="S52" s="35"/>
    </row>
    <row r="53" spans="1:19" s="54" customFormat="1" ht="12.75" x14ac:dyDescent="0.2">
      <c r="A53" s="52" t="s">
        <v>278</v>
      </c>
      <c r="F53" s="35">
        <f t="shared" si="6"/>
        <v>0</v>
      </c>
      <c r="G53" s="36">
        <f t="shared" si="4"/>
        <v>0</v>
      </c>
      <c r="I53" s="35"/>
      <c r="J53" s="35"/>
      <c r="K53" s="35">
        <f t="shared" si="7"/>
        <v>0</v>
      </c>
      <c r="L53" s="36">
        <f t="shared" si="5"/>
        <v>0</v>
      </c>
      <c r="S53" s="35"/>
    </row>
    <row r="54" spans="1:19" s="54" customFormat="1" ht="12.75" x14ac:dyDescent="0.2">
      <c r="A54" s="52" t="s">
        <v>279</v>
      </c>
      <c r="F54" s="35">
        <f t="shared" si="6"/>
        <v>0</v>
      </c>
      <c r="G54" s="36">
        <f t="shared" si="4"/>
        <v>0</v>
      </c>
      <c r="I54" s="35"/>
      <c r="J54" s="35"/>
      <c r="K54" s="35">
        <f t="shared" si="7"/>
        <v>0</v>
      </c>
      <c r="L54" s="36">
        <f t="shared" si="5"/>
        <v>0</v>
      </c>
      <c r="S54" s="35"/>
    </row>
    <row r="55" spans="1:19" s="54" customFormat="1" ht="12.75" x14ac:dyDescent="0.2">
      <c r="A55" s="52" t="s">
        <v>280</v>
      </c>
      <c r="F55" s="35">
        <f t="shared" si="6"/>
        <v>0</v>
      </c>
      <c r="G55" s="36">
        <f t="shared" si="4"/>
        <v>0</v>
      </c>
      <c r="I55" s="35"/>
      <c r="J55" s="35"/>
      <c r="K55" s="35">
        <f t="shared" si="7"/>
        <v>0</v>
      </c>
      <c r="L55" s="36">
        <f t="shared" si="5"/>
        <v>0</v>
      </c>
      <c r="S55" s="35"/>
    </row>
    <row r="56" spans="1:19" s="54" customFormat="1" ht="12.75" x14ac:dyDescent="0.2">
      <c r="A56" s="52" t="s">
        <v>281</v>
      </c>
      <c r="F56" s="35">
        <f t="shared" si="6"/>
        <v>0</v>
      </c>
      <c r="G56" s="36">
        <f t="shared" si="4"/>
        <v>0</v>
      </c>
      <c r="I56" s="35"/>
      <c r="J56" s="35"/>
      <c r="K56" s="35">
        <f t="shared" si="7"/>
        <v>0</v>
      </c>
      <c r="L56" s="36">
        <f t="shared" si="5"/>
        <v>0</v>
      </c>
      <c r="S56" s="35"/>
    </row>
    <row r="57" spans="1:19" s="54" customFormat="1" ht="12.75" x14ac:dyDescent="0.2">
      <c r="A57" s="52" t="s">
        <v>282</v>
      </c>
      <c r="F57" s="35">
        <f t="shared" si="6"/>
        <v>0</v>
      </c>
      <c r="G57" s="36">
        <f t="shared" si="4"/>
        <v>0</v>
      </c>
      <c r="I57" s="35"/>
      <c r="J57" s="35"/>
      <c r="K57" s="35">
        <f t="shared" si="7"/>
        <v>0</v>
      </c>
      <c r="L57" s="36">
        <f t="shared" si="5"/>
        <v>0</v>
      </c>
      <c r="S57" s="35"/>
    </row>
    <row r="58" spans="1:19" s="54" customFormat="1" ht="12.75" x14ac:dyDescent="0.2">
      <c r="A58" s="52" t="s">
        <v>283</v>
      </c>
      <c r="F58" s="35">
        <f t="shared" si="6"/>
        <v>0</v>
      </c>
      <c r="G58" s="36">
        <f t="shared" si="4"/>
        <v>0</v>
      </c>
      <c r="I58" s="35"/>
      <c r="J58" s="35"/>
      <c r="K58" s="35">
        <f t="shared" si="7"/>
        <v>0</v>
      </c>
      <c r="L58" s="36">
        <f t="shared" si="5"/>
        <v>0</v>
      </c>
      <c r="S58" s="35"/>
    </row>
    <row r="59" spans="1:19" s="54" customFormat="1" ht="12.75" x14ac:dyDescent="0.2">
      <c r="A59" s="52" t="s">
        <v>284</v>
      </c>
      <c r="F59" s="35">
        <f t="shared" si="6"/>
        <v>0</v>
      </c>
      <c r="G59" s="36">
        <f t="shared" si="4"/>
        <v>0</v>
      </c>
      <c r="I59" s="35"/>
      <c r="J59" s="35"/>
      <c r="K59" s="35">
        <f t="shared" si="7"/>
        <v>0</v>
      </c>
      <c r="L59" s="36">
        <f t="shared" si="5"/>
        <v>0</v>
      </c>
      <c r="S59" s="35"/>
    </row>
    <row r="60" spans="1:19" s="54" customFormat="1" ht="12.75" x14ac:dyDescent="0.2">
      <c r="A60" s="52" t="s">
        <v>285</v>
      </c>
      <c r="F60" s="35">
        <f t="shared" si="6"/>
        <v>0</v>
      </c>
      <c r="G60" s="36">
        <f t="shared" si="4"/>
        <v>0</v>
      </c>
      <c r="I60" s="35"/>
      <c r="J60" s="35"/>
      <c r="K60" s="35">
        <f t="shared" si="7"/>
        <v>0</v>
      </c>
      <c r="L60" s="36">
        <f t="shared" si="5"/>
        <v>0</v>
      </c>
      <c r="S60" s="35"/>
    </row>
    <row r="61" spans="1:19" s="54" customFormat="1" ht="12.75" x14ac:dyDescent="0.2">
      <c r="A61" s="52" t="s">
        <v>286</v>
      </c>
      <c r="F61" s="35">
        <f t="shared" si="6"/>
        <v>0</v>
      </c>
      <c r="G61" s="36">
        <f t="shared" si="4"/>
        <v>0</v>
      </c>
      <c r="I61" s="35"/>
      <c r="J61" s="35"/>
      <c r="K61" s="35">
        <f t="shared" si="7"/>
        <v>0</v>
      </c>
      <c r="L61" s="36">
        <f t="shared" si="5"/>
        <v>0</v>
      </c>
      <c r="S61" s="35"/>
    </row>
    <row r="62" spans="1:19" s="54" customFormat="1" ht="13.5" thickBot="1" x14ac:dyDescent="0.25">
      <c r="F62" s="37">
        <f>SUM(F51:F61)</f>
        <v>0</v>
      </c>
      <c r="G62" s="38">
        <f t="shared" si="4"/>
        <v>0</v>
      </c>
      <c r="I62" s="35"/>
      <c r="J62" s="35"/>
      <c r="K62" s="37">
        <f>SUM(K51:K61)</f>
        <v>0</v>
      </c>
      <c r="L62" s="38">
        <f t="shared" si="5"/>
        <v>0</v>
      </c>
      <c r="S62" s="35"/>
    </row>
    <row r="63" spans="1:19" s="54" customFormat="1" ht="13.5" thickTop="1" x14ac:dyDescent="0.2"/>
    <row r="64" spans="1:19" s="54" customFormat="1" ht="13.5" thickBot="1" x14ac:dyDescent="0.25"/>
    <row r="65" spans="1:19" s="54" customFormat="1" ht="15.75" customHeight="1" thickBot="1" x14ac:dyDescent="0.25">
      <c r="D65" s="623" t="s">
        <v>336</v>
      </c>
      <c r="E65" s="624"/>
      <c r="F65" s="624"/>
      <c r="G65" s="624"/>
      <c r="H65" s="624"/>
      <c r="I65" s="624"/>
      <c r="J65" s="625"/>
      <c r="K65" s="58"/>
      <c r="L65" s="58"/>
      <c r="M65" s="58"/>
      <c r="N65" s="58"/>
      <c r="O65" s="58"/>
      <c r="P65" s="58"/>
      <c r="Q65" s="58"/>
      <c r="R65" s="58"/>
      <c r="S65" s="58"/>
    </row>
    <row r="66" spans="1:19" s="54" customFormat="1" ht="12.75" x14ac:dyDescent="0.2"/>
    <row r="67" spans="1:19" s="54" customFormat="1" ht="12.75" x14ac:dyDescent="0.2">
      <c r="F67" s="60" t="s">
        <v>176</v>
      </c>
      <c r="G67" s="60" t="str">
        <f>F50</f>
        <v>FY2024</v>
      </c>
      <c r="I67" s="60" t="str">
        <f>I6</f>
        <v>FY2025</v>
      </c>
    </row>
    <row r="68" spans="1:19" s="54" customFormat="1" ht="12.75" x14ac:dyDescent="0.2">
      <c r="E68" s="196" t="s">
        <v>335</v>
      </c>
      <c r="F68" s="197" t="s">
        <v>334</v>
      </c>
      <c r="G68" s="198">
        <v>0</v>
      </c>
      <c r="I68" s="198">
        <v>0</v>
      </c>
      <c r="J68" s="282" t="s">
        <v>177</v>
      </c>
    </row>
    <row r="69" spans="1:19" s="54" customFormat="1" ht="12.75" x14ac:dyDescent="0.2"/>
    <row r="70" spans="1:19" s="54" customFormat="1" ht="12.75" customHeight="1" x14ac:dyDescent="0.2">
      <c r="A70" s="626" t="s">
        <v>385</v>
      </c>
      <c r="B70" s="626"/>
      <c r="C70" s="626"/>
      <c r="D70" s="626"/>
      <c r="E70" s="626"/>
      <c r="F70" s="626"/>
      <c r="G70" s="626"/>
      <c r="H70" s="626"/>
      <c r="I70" s="626"/>
      <c r="J70" s="626"/>
      <c r="K70" s="626"/>
      <c r="L70" s="626"/>
      <c r="M70" s="626"/>
      <c r="N70" s="626"/>
      <c r="O70" s="626"/>
      <c r="P70" s="626"/>
      <c r="Q70" s="279"/>
    </row>
    <row r="71" spans="1:19" s="54" customFormat="1" ht="12.75" x14ac:dyDescent="0.2">
      <c r="A71" s="626"/>
      <c r="B71" s="626"/>
      <c r="C71" s="626"/>
      <c r="D71" s="626"/>
      <c r="E71" s="626"/>
      <c r="F71" s="626"/>
      <c r="G71" s="626"/>
      <c r="H71" s="626"/>
      <c r="I71" s="626"/>
      <c r="J71" s="626"/>
      <c r="K71" s="626"/>
      <c r="L71" s="626"/>
      <c r="M71" s="626"/>
      <c r="N71" s="626"/>
      <c r="O71" s="626"/>
      <c r="P71" s="626"/>
      <c r="Q71" s="279"/>
    </row>
    <row r="72" spans="1:19" s="54" customFormat="1" ht="12.75" x14ac:dyDescent="0.2">
      <c r="A72" s="626"/>
      <c r="B72" s="626"/>
      <c r="C72" s="626"/>
      <c r="D72" s="626"/>
      <c r="E72" s="626"/>
      <c r="F72" s="626"/>
      <c r="G72" s="626"/>
      <c r="H72" s="626"/>
      <c r="I72" s="626"/>
      <c r="J72" s="626"/>
      <c r="K72" s="626"/>
      <c r="L72" s="626"/>
      <c r="M72" s="626"/>
      <c r="N72" s="626"/>
      <c r="O72" s="626"/>
      <c r="P72" s="626"/>
      <c r="Q72" s="279"/>
    </row>
    <row r="73" spans="1:19" s="54" customFormat="1" ht="12.75" x14ac:dyDescent="0.2">
      <c r="A73" s="626"/>
      <c r="B73" s="626"/>
      <c r="C73" s="626"/>
      <c r="D73" s="626"/>
      <c r="E73" s="626"/>
      <c r="F73" s="626"/>
      <c r="G73" s="626"/>
      <c r="H73" s="626"/>
      <c r="I73" s="626"/>
      <c r="J73" s="626"/>
      <c r="K73" s="626"/>
      <c r="L73" s="626"/>
      <c r="M73" s="626"/>
      <c r="N73" s="626"/>
      <c r="O73" s="626"/>
      <c r="P73" s="626"/>
      <c r="Q73" s="279"/>
    </row>
    <row r="74" spans="1:19" s="54" customFormat="1" ht="12.75" x14ac:dyDescent="0.2">
      <c r="A74" s="626"/>
      <c r="B74" s="626"/>
      <c r="C74" s="626"/>
      <c r="D74" s="626"/>
      <c r="E74" s="626"/>
      <c r="F74" s="626"/>
      <c r="G74" s="626"/>
      <c r="H74" s="626"/>
      <c r="I74" s="626"/>
      <c r="J74" s="626"/>
      <c r="K74" s="626"/>
      <c r="L74" s="626"/>
      <c r="M74" s="626"/>
      <c r="N74" s="626"/>
      <c r="O74" s="626"/>
      <c r="P74" s="626"/>
      <c r="Q74" s="279"/>
    </row>
    <row r="75" spans="1:19" x14ac:dyDescent="0.2">
      <c r="A75" s="279"/>
      <c r="B75" s="279"/>
      <c r="C75" s="279"/>
      <c r="D75" s="279"/>
      <c r="E75" s="279"/>
      <c r="F75" s="279"/>
      <c r="G75" s="279"/>
      <c r="H75" s="279"/>
      <c r="I75" s="279"/>
      <c r="J75" s="279"/>
      <c r="K75" s="279"/>
      <c r="L75" s="279"/>
      <c r="M75" s="279"/>
      <c r="N75" s="279"/>
      <c r="O75" s="279"/>
      <c r="P75" s="279"/>
      <c r="Q75" s="279"/>
    </row>
    <row r="76" spans="1:19" x14ac:dyDescent="0.2">
      <c r="A76" s="279"/>
      <c r="B76" s="279"/>
      <c r="C76" s="279"/>
      <c r="D76" s="279"/>
      <c r="E76" s="279"/>
      <c r="F76" s="279"/>
      <c r="G76" s="279"/>
      <c r="H76" s="279"/>
      <c r="I76" s="279"/>
      <c r="J76" s="279"/>
      <c r="K76" s="279"/>
      <c r="L76" s="279"/>
      <c r="M76" s="279"/>
      <c r="N76" s="279"/>
      <c r="O76" s="279"/>
      <c r="P76" s="279"/>
      <c r="Q76" s="279"/>
    </row>
  </sheetData>
  <sheetProtection algorithmName="SHA-512" hashValue="dDv1bX29Iv86EHIVikqnCKMuI1NVta6N2zE70Q3FrISD9Jcet6HdDQCSth+ydJyCy3O5uddNW+7/uTXamGAy5A==" saltValue="3rfAmELakhzBF0I8JQaCgg==" spinCount="100000" sheet="1" objects="1" scenarios="1"/>
  <protectedRanges>
    <protectedRange sqref="G68 G9:G26 G28:G45 L28:L45 L9:L26 I68" name="Range2"/>
    <protectedRange sqref="I68 G9:G26 G28:G45 L28:L45 L9:L26" name="Range1"/>
  </protectedRanges>
  <mergeCells count="7">
    <mergeCell ref="N1:S1"/>
    <mergeCell ref="K49:L49"/>
    <mergeCell ref="A70:P74"/>
    <mergeCell ref="I6:L6"/>
    <mergeCell ref="D6:G6"/>
    <mergeCell ref="F49:G49"/>
    <mergeCell ref="D65:J6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34</vt:i4>
      </vt:variant>
    </vt:vector>
  </HeadingPairs>
  <TitlesOfParts>
    <vt:vector size="60" baseType="lpstr">
      <vt:lpstr>Final Amortization</vt:lpstr>
      <vt:lpstr>GASB 75 JEs</vt:lpstr>
      <vt:lpstr>Sheet3</vt:lpstr>
      <vt:lpstr>GASB 75 Sch Input CY</vt:lpstr>
      <vt:lpstr>CY Schedule Calcs</vt:lpstr>
      <vt:lpstr>GASB 75 Sch Input PY </vt:lpstr>
      <vt:lpstr>Amortization Input CY</vt:lpstr>
      <vt:lpstr>OPEB Contr Input - LEA</vt:lpstr>
      <vt:lpstr>OPEB Contr Input - RESA</vt:lpstr>
      <vt:lpstr>OPEB Contr Input - MCVC</vt:lpstr>
      <vt:lpstr>RESA Proportion</vt:lpstr>
      <vt:lpstr>MCVC Proportion</vt:lpstr>
      <vt:lpstr>Summary of GASB 75 Activity</vt:lpstr>
      <vt:lpstr>Change in Proportion - LEAs</vt:lpstr>
      <vt:lpstr>Change in Proportion - RESAs</vt:lpstr>
      <vt:lpstr>Change in Proportion - MCVCs</vt:lpstr>
      <vt:lpstr>Net LEA Amounts</vt:lpstr>
      <vt:lpstr>GASB 75 State Aid Support</vt:lpstr>
      <vt:lpstr>Notes Section</vt:lpstr>
      <vt:lpstr>NOL Assoc. w LEA</vt:lpstr>
      <vt:lpstr>OPEB Deferred In_outflows</vt:lpstr>
      <vt:lpstr>Amort. of Def. Amounts</vt:lpstr>
      <vt:lpstr>Sensitivity Analysis Discount</vt:lpstr>
      <vt:lpstr>Sensitivity Analysis Healthcare</vt:lpstr>
      <vt:lpstr>Prop Share of NOL</vt:lpstr>
      <vt:lpstr>Schedule of District Contrib</vt:lpstr>
      <vt:lpstr>Allocable_Pension_Expense</vt:lpstr>
      <vt:lpstr>Amort_Change_In_Proportion_LEA</vt:lpstr>
      <vt:lpstr>Amort_Change_In_Proportion_MCVC</vt:lpstr>
      <vt:lpstr>Amort_Change_In_Proportion_RESA</vt:lpstr>
      <vt:lpstr>Amortization</vt:lpstr>
      <vt:lpstr>DI_Assumptions</vt:lpstr>
      <vt:lpstr>DI_Experience</vt:lpstr>
      <vt:lpstr>DI_Investments</vt:lpstr>
      <vt:lpstr>DI_Note</vt:lpstr>
      <vt:lpstr>DI_Proportion</vt:lpstr>
      <vt:lpstr>DI_Total</vt:lpstr>
      <vt:lpstr>DO_Assumptions</vt:lpstr>
      <vt:lpstr>DO_Experience</vt:lpstr>
      <vt:lpstr>DO_Investments</vt:lpstr>
      <vt:lpstr>DO_Note</vt:lpstr>
      <vt:lpstr>DO_Proportion</vt:lpstr>
      <vt:lpstr>DO_Total</vt:lpstr>
      <vt:lpstr>Future_Amort</vt:lpstr>
      <vt:lpstr>JEs_In_Balance</vt:lpstr>
      <vt:lpstr>Net_Deferred_In_Outflows_Reconcile</vt:lpstr>
      <vt:lpstr>Net_Pension_Expense</vt:lpstr>
      <vt:lpstr>NPL</vt:lpstr>
      <vt:lpstr>Pension_Expense_Reconciles</vt:lpstr>
      <vt:lpstr>'Amort. of Def. Amounts'!Print_Area</vt:lpstr>
      <vt:lpstr>'GASB 75 JEs'!Print_Area</vt:lpstr>
      <vt:lpstr>'NOL Assoc. w LEA'!Print_Area</vt:lpstr>
      <vt:lpstr>'Notes Section'!Print_Area</vt:lpstr>
      <vt:lpstr>'OPEB Deferred In_outflows'!Print_Area</vt:lpstr>
      <vt:lpstr>'Prop Share of NOL'!Print_Area</vt:lpstr>
      <vt:lpstr>'Schedule of District Contrib'!Print_Area</vt:lpstr>
      <vt:lpstr>'Sensitivity Analysis Discount'!Print_Area</vt:lpstr>
      <vt:lpstr>'Sensitivity Analysis Healthcare'!Print_Area</vt:lpstr>
      <vt:lpstr>State_Aid_Outside_of_Sp_Funding</vt:lpstr>
      <vt:lpstr>Valid_Entity_Type</vt:lpstr>
    </vt:vector>
  </TitlesOfParts>
  <Company>Arnett &amp; Foster,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Arnett &amp; Foster</dc:creator>
  <cp:lastModifiedBy>Joshua Harner</cp:lastModifiedBy>
  <cp:lastPrinted>2024-07-16T13:16:10Z</cp:lastPrinted>
  <dcterms:created xsi:type="dcterms:W3CDTF">2001-05-21T17:52:01Z</dcterms:created>
  <dcterms:modified xsi:type="dcterms:W3CDTF">2025-08-15T16:28:04Z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2022-09-07T15:57:22Z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d663637c-2d93-4183-97b2-faf5fe138d84</vt:lpwstr>
  </property>
  <property fmtid="{D5CDD505-2E9C-101B-9397-08002B2CF9AE}" pid="8" name="MSIP_Label_460f4a70-4b6c-4bd4-a002-31edb9c00abe_ContentBits">
    <vt:lpwstr>0</vt:lpwstr>
  </property>
</Properties>
</file>